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U:\Compliance and Conformity\Regulation Compliance\Conflict Minerals\"/>
    </mc:Choice>
  </mc:AlternateContent>
  <xr:revisionPtr revIDLastSave="0" documentId="8_{1597A915-CF50-4273-AC81-8C0522E6C24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86" yWindow="0" windowWidth="16629" windowHeight="1788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 i="5" l="1"/>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5" i="5"/>
  <c r="C6" i="5"/>
  <c r="C7" i="5"/>
  <c r="C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28" i="5"/>
  <c r="E28" i="5"/>
  <c r="X28" i="5" s="1"/>
  <c r="V29" i="5"/>
  <c r="E29" i="5"/>
  <c r="X29" i="5" s="1"/>
  <c r="V30" i="5"/>
  <c r="E30" i="5"/>
  <c r="V31" i="5"/>
  <c r="E31" i="5"/>
  <c r="X31" i="5" s="1"/>
  <c r="V32" i="5"/>
  <c r="E32" i="5"/>
  <c r="X32" i="5" s="1"/>
  <c r="V33" i="5"/>
  <c r="E33" i="5"/>
  <c r="X33" i="5" s="1"/>
  <c r="V34" i="5"/>
  <c r="E34" i="5"/>
  <c r="X34" i="5" s="1"/>
  <c r="V35" i="5"/>
  <c r="E35" i="5"/>
  <c r="X35" i="5" s="1"/>
  <c r="V36" i="5"/>
  <c r="E36" i="5"/>
  <c r="V37" i="5"/>
  <c r="E37" i="5"/>
  <c r="X37" i="5"/>
  <c r="V38" i="5"/>
  <c r="E38" i="5"/>
  <c r="X38" i="5"/>
  <c r="V39" i="5"/>
  <c r="E39" i="5"/>
  <c r="X39" i="5"/>
  <c r="V40" i="5"/>
  <c r="E40" i="5"/>
  <c r="V41" i="5"/>
  <c r="E41" i="5"/>
  <c r="X41" i="5" s="1"/>
  <c r="V42" i="5"/>
  <c r="E42" i="5"/>
  <c r="X42" i="5" s="1"/>
  <c r="V43" i="5"/>
  <c r="V44" i="5"/>
  <c r="E44" i="5"/>
  <c r="X44" i="5" s="1"/>
  <c r="V45" i="5"/>
  <c r="E45" i="5"/>
  <c r="X45" i="5" s="1"/>
  <c r="V46" i="5"/>
  <c r="E46" i="5"/>
  <c r="X46" i="5"/>
  <c r="V47" i="5"/>
  <c r="E47" i="5"/>
  <c r="X47" i="5"/>
  <c r="V48" i="5"/>
  <c r="E48" i="5"/>
  <c r="X48" i="5"/>
  <c r="V49" i="5"/>
  <c r="V50" i="5"/>
  <c r="E50" i="5"/>
  <c r="X50" i="5"/>
  <c r="V51" i="5"/>
  <c r="E51" i="5"/>
  <c r="X51" i="5" s="1"/>
  <c r="V52" i="5"/>
  <c r="E52" i="5"/>
  <c r="V53" i="5"/>
  <c r="E53" i="5"/>
  <c r="X53" i="5"/>
  <c r="V54" i="5"/>
  <c r="E54" i="5"/>
  <c r="X54" i="5"/>
  <c r="V55" i="5"/>
  <c r="E55" i="5"/>
  <c r="X55" i="5"/>
  <c r="V56" i="5"/>
  <c r="E56" i="5"/>
  <c r="V57" i="5"/>
  <c r="E57" i="5"/>
  <c r="X57" i="5" s="1"/>
  <c r="V58" i="5"/>
  <c r="E58" i="5"/>
  <c r="X58" i="5" s="1"/>
  <c r="V59" i="5"/>
  <c r="E59" i="5"/>
  <c r="X59" i="5" s="1"/>
  <c r="V60" i="5"/>
  <c r="E60" i="5"/>
  <c r="V61" i="5"/>
  <c r="V62" i="5"/>
  <c r="V63" i="5"/>
  <c r="E63" i="5"/>
  <c r="X63" i="5"/>
  <c r="V64" i="5"/>
  <c r="E64" i="5"/>
  <c r="V65" i="5"/>
  <c r="E65" i="5"/>
  <c r="X65" i="5" s="1"/>
  <c r="V66" i="5"/>
  <c r="E66" i="5"/>
  <c r="X66" i="5" s="1"/>
  <c r="V67" i="5"/>
  <c r="E67" i="5"/>
  <c r="X67" i="5" s="1"/>
  <c r="V68" i="5"/>
  <c r="E68" i="5"/>
  <c r="V69" i="5"/>
  <c r="E69" i="5"/>
  <c r="X69" i="5"/>
  <c r="V70" i="5"/>
  <c r="E70" i="5"/>
  <c r="X70" i="5"/>
  <c r="V71" i="5"/>
  <c r="H71" i="5"/>
  <c r="E71" i="5"/>
  <c r="X71" i="5"/>
  <c r="V72" i="5"/>
  <c r="E72" i="5"/>
  <c r="V73" i="5"/>
  <c r="E73" i="5"/>
  <c r="X73" i="5"/>
  <c r="V74" i="5"/>
  <c r="E74" i="5"/>
  <c r="X74" i="5" s="1"/>
  <c r="V75" i="5"/>
  <c r="E75" i="5"/>
  <c r="X75" i="5" s="1"/>
  <c r="V76" i="5"/>
  <c r="E76" i="5"/>
  <c r="X76" i="5"/>
  <c r="V77" i="5"/>
  <c r="E77" i="5"/>
  <c r="X77" i="5"/>
  <c r="V78" i="5"/>
  <c r="V79" i="5"/>
  <c r="E79" i="5"/>
  <c r="X79" i="5"/>
  <c r="V80" i="5"/>
  <c r="E80" i="5"/>
  <c r="V81" i="5"/>
  <c r="E81" i="5"/>
  <c r="X81" i="5" s="1"/>
  <c r="V82" i="5"/>
  <c r="E82" i="5"/>
  <c r="X82" i="5" s="1"/>
  <c r="V83" i="5"/>
  <c r="E83" i="5"/>
  <c r="X83" i="5" s="1"/>
  <c r="V84" i="5"/>
  <c r="E84" i="5"/>
  <c r="V85" i="5"/>
  <c r="E85" i="5"/>
  <c r="X85" i="5"/>
  <c r="V86" i="5"/>
  <c r="E86" i="5"/>
  <c r="X86" i="5"/>
  <c r="V87" i="5"/>
  <c r="V88" i="5"/>
  <c r="E88" i="5"/>
  <c r="V89" i="5"/>
  <c r="E89" i="5"/>
  <c r="X89" i="5" s="1"/>
  <c r="V90" i="5"/>
  <c r="E90" i="5"/>
  <c r="X90" i="5" s="1"/>
  <c r="V91" i="5"/>
  <c r="E91" i="5"/>
  <c r="X91" i="5"/>
  <c r="V92" i="5"/>
  <c r="V93" i="5"/>
  <c r="V94" i="5"/>
  <c r="E94" i="5"/>
  <c r="X94" i="5"/>
  <c r="V95" i="5"/>
  <c r="E95" i="5"/>
  <c r="X95" i="5"/>
  <c r="V96" i="5"/>
  <c r="E96" i="5"/>
  <c r="X96" i="5" s="1"/>
  <c r="V97" i="5"/>
  <c r="E97" i="5"/>
  <c r="X97" i="5" s="1"/>
  <c r="V98" i="5"/>
  <c r="E98" i="5"/>
  <c r="X98" i="5" s="1"/>
  <c r="V99" i="5"/>
  <c r="E99" i="5"/>
  <c r="X99" i="5" s="1"/>
  <c r="V100" i="5"/>
  <c r="E100" i="5"/>
  <c r="X100" i="5" s="1"/>
  <c r="V101" i="5"/>
  <c r="E101" i="5"/>
  <c r="V102" i="5"/>
  <c r="E102" i="5"/>
  <c r="X102" i="5"/>
  <c r="V103" i="5"/>
  <c r="V104" i="5"/>
  <c r="E104" i="5"/>
  <c r="X104" i="5"/>
  <c r="V105" i="5"/>
  <c r="E105" i="5"/>
  <c r="X105" i="5" s="1"/>
  <c r="V106" i="5"/>
  <c r="E106" i="5"/>
  <c r="X106" i="5" s="1"/>
  <c r="V107" i="5"/>
  <c r="E107" i="5"/>
  <c r="X107" i="5"/>
  <c r="V108" i="5"/>
  <c r="V109" i="5"/>
  <c r="E109" i="5"/>
  <c r="X109" i="5"/>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s="1"/>
  <c r="V129" i="5"/>
  <c r="E129" i="5"/>
  <c r="X129" i="5" s="1"/>
  <c r="V130" i="5"/>
  <c r="E130" i="5"/>
  <c r="X130" i="5" s="1"/>
  <c r="V131" i="5"/>
  <c r="E131" i="5"/>
  <c r="X131" i="5" s="1"/>
  <c r="V132" i="5"/>
  <c r="E132" i="5"/>
  <c r="X132" i="5" s="1"/>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c r="V178" i="5"/>
  <c r="E178" i="5"/>
  <c r="X178" i="5"/>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c r="V202" i="5"/>
  <c r="E202" i="5"/>
  <c r="X202" i="5"/>
  <c r="V203" i="5"/>
  <c r="E203" i="5"/>
  <c r="X203" i="5"/>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c r="V221" i="5"/>
  <c r="E221" i="5"/>
  <c r="X221" i="5"/>
  <c r="V222" i="5"/>
  <c r="E222" i="5"/>
  <c r="X222" i="5"/>
  <c r="V223" i="5"/>
  <c r="E223" i="5"/>
  <c r="X223" i="5"/>
  <c r="V224" i="5"/>
  <c r="E224" i="5"/>
  <c r="X224" i="5" s="1"/>
  <c r="V225" i="5"/>
  <c r="E225" i="5"/>
  <c r="X225" i="5" s="1"/>
  <c r="V226" i="5"/>
  <c r="E226" i="5"/>
  <c r="X226" i="5" s="1"/>
  <c r="V227" i="5"/>
  <c r="E227" i="5"/>
  <c r="X227" i="5" s="1"/>
  <c r="V228" i="5"/>
  <c r="E228" i="5"/>
  <c r="X228" i="5" s="1"/>
  <c r="V229" i="5"/>
  <c r="E229" i="5"/>
  <c r="X229" i="5" s="1"/>
  <c r="V230" i="5"/>
  <c r="E230" i="5"/>
  <c r="X230" i="5"/>
  <c r="V231" i="5"/>
  <c r="E231" i="5"/>
  <c r="X231" i="5"/>
  <c r="V232" i="5"/>
  <c r="E232" i="5"/>
  <c r="X232" i="5" s="1"/>
  <c r="V233" i="5"/>
  <c r="E233" i="5"/>
  <c r="X233" i="5"/>
  <c r="V234" i="5"/>
  <c r="E234" i="5"/>
  <c r="X234" i="5"/>
  <c r="V235" i="5"/>
  <c r="E235" i="5"/>
  <c r="X235" i="5"/>
  <c r="V236" i="5"/>
  <c r="E236" i="5"/>
  <c r="X236" i="5"/>
  <c r="V237" i="5"/>
  <c r="E237" i="5"/>
  <c r="X237" i="5"/>
  <c r="V238" i="5"/>
  <c r="E238" i="5"/>
  <c r="X238" i="5"/>
  <c r="V239" i="5"/>
  <c r="E239" i="5"/>
  <c r="X239" i="5"/>
  <c r="V240" i="5"/>
  <c r="E240" i="5"/>
  <c r="X240" i="5" s="1"/>
  <c r="V241" i="5"/>
  <c r="E241" i="5"/>
  <c r="X241" i="5" s="1"/>
  <c r="V242" i="5"/>
  <c r="E242" i="5"/>
  <c r="X242" i="5" s="1"/>
  <c r="V243" i="5"/>
  <c r="E243" i="5"/>
  <c r="X243" i="5" s="1"/>
  <c r="V244" i="5"/>
  <c r="E244" i="5"/>
  <c r="X244" i="5" s="1"/>
  <c r="V245" i="5"/>
  <c r="E245" i="5"/>
  <c r="X245" i="5"/>
  <c r="V246" i="5"/>
  <c r="E246" i="5"/>
  <c r="X246" i="5"/>
  <c r="V247" i="5"/>
  <c r="E247" i="5"/>
  <c r="X247" i="5"/>
  <c r="V248" i="5"/>
  <c r="E248" i="5"/>
  <c r="X248" i="5"/>
  <c r="V249" i="5"/>
  <c r="E249" i="5"/>
  <c r="X249" i="5"/>
  <c r="V250" i="5"/>
  <c r="E250" i="5"/>
  <c r="X250" i="5" s="1"/>
  <c r="V251" i="5"/>
  <c r="E251" i="5"/>
  <c r="X251" i="5"/>
  <c r="V252" i="5"/>
  <c r="E252" i="5"/>
  <c r="X252" i="5"/>
  <c r="V253" i="5"/>
  <c r="E253" i="5"/>
  <c r="X253" i="5" s="1"/>
  <c r="V254" i="5"/>
  <c r="E254" i="5"/>
  <c r="X254" i="5"/>
  <c r="V255" i="5"/>
  <c r="E255" i="5"/>
  <c r="X255" i="5" s="1"/>
  <c r="V256" i="5"/>
  <c r="E256" i="5"/>
  <c r="X256" i="5"/>
  <c r="V257" i="5"/>
  <c r="V258" i="5"/>
  <c r="V259" i="5"/>
  <c r="E259" i="5"/>
  <c r="X259" i="5"/>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c r="V288" i="5"/>
  <c r="E288" i="5"/>
  <c r="X288" i="5"/>
  <c r="V289" i="5"/>
  <c r="V290" i="5"/>
  <c r="E290" i="5"/>
  <c r="X290" i="5" s="1"/>
  <c r="V291" i="5"/>
  <c r="E291" i="5"/>
  <c r="X291" i="5" s="1"/>
  <c r="V292" i="5"/>
  <c r="E292" i="5"/>
  <c r="X292" i="5" s="1"/>
  <c r="V293" i="5"/>
  <c r="E293" i="5"/>
  <c r="X293" i="5" s="1"/>
  <c r="V294" i="5"/>
  <c r="E294" i="5"/>
  <c r="X294" i="5"/>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c r="V313" i="5"/>
  <c r="E313" i="5"/>
  <c r="X313" i="5" s="1"/>
  <c r="V314" i="5"/>
  <c r="V315" i="5"/>
  <c r="V316" i="5"/>
  <c r="E316" i="5"/>
  <c r="X316" i="5"/>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c r="V326" i="5"/>
  <c r="E326" i="5"/>
  <c r="X326" i="5"/>
  <c r="V327" i="5"/>
  <c r="E327" i="5"/>
  <c r="X327" i="5" s="1"/>
  <c r="V328" i="5"/>
  <c r="E328" i="5"/>
  <c r="X328" i="5" s="1"/>
  <c r="V329" i="5"/>
  <c r="E329" i="5"/>
  <c r="X329" i="5" s="1"/>
  <c r="V330" i="5"/>
  <c r="E330" i="5"/>
  <c r="X330" i="5" s="1"/>
  <c r="V331" i="5"/>
  <c r="V332" i="5"/>
  <c r="V333" i="5"/>
  <c r="E333" i="5"/>
  <c r="X333" i="5" s="1"/>
  <c r="V334" i="5"/>
  <c r="E334" i="5"/>
  <c r="X334" i="5" s="1"/>
  <c r="V335" i="5"/>
  <c r="E335" i="5"/>
  <c r="X335" i="5"/>
  <c r="V336" i="5"/>
  <c r="E336" i="5"/>
  <c r="X336" i="5"/>
  <c r="V337" i="5"/>
  <c r="E337" i="5"/>
  <c r="X337" i="5"/>
  <c r="V338" i="5"/>
  <c r="E338" i="5"/>
  <c r="X338" i="5" s="1"/>
  <c r="V339" i="5"/>
  <c r="E339" i="5"/>
  <c r="X339" i="5" s="1"/>
  <c r="V340" i="5"/>
  <c r="E340" i="5"/>
  <c r="X340" i="5" s="1"/>
  <c r="V341" i="5"/>
  <c r="E341" i="5"/>
  <c r="X341" i="5" s="1"/>
  <c r="V342" i="5"/>
  <c r="E342" i="5"/>
  <c r="X342" i="5" s="1"/>
  <c r="V343" i="5"/>
  <c r="E343" i="5"/>
  <c r="V344" i="5"/>
  <c r="E344" i="5"/>
  <c r="V345" i="5"/>
  <c r="E345" i="5"/>
  <c r="X345" i="5" s="1"/>
  <c r="V346" i="5"/>
  <c r="E346" i="5"/>
  <c r="X346" i="5" s="1"/>
  <c r="V347" i="5"/>
  <c r="E347" i="5"/>
  <c r="X347" i="5"/>
  <c r="V348" i="5"/>
  <c r="E348" i="5"/>
  <c r="X348" i="5"/>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c r="V364" i="5"/>
  <c r="E364" i="5"/>
  <c r="X364" i="5" s="1"/>
  <c r="V365" i="5"/>
  <c r="E365" i="5"/>
  <c r="X365" i="5"/>
  <c r="V366" i="5"/>
  <c r="E366" i="5"/>
  <c r="X366" i="5" s="1"/>
  <c r="V367" i="5"/>
  <c r="E367" i="5"/>
  <c r="X367" i="5"/>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G64" i="6" a="1"/>
  <c r="G64" i="6" s="1"/>
  <c r="B63" i="6"/>
  <c r="G63" i="6" s="1"/>
  <c r="B62" i="6"/>
  <c r="G62" i="6" s="1"/>
  <c r="B60" i="6"/>
  <c r="G60" i="6" s="1"/>
  <c r="B59" i="6"/>
  <c r="G59" i="6" s="1"/>
  <c r="B58" i="6"/>
  <c r="G58" i="6" s="1"/>
  <c r="B57" i="6"/>
  <c r="G57" i="6" s="1"/>
  <c r="B56" i="6"/>
  <c r="G56" i="6" s="1"/>
  <c r="B55" i="6"/>
  <c r="G55" i="6" s="1"/>
  <c r="B54" i="6"/>
  <c r="G54" i="6" s="1"/>
  <c r="B17" i="6"/>
  <c r="B16" i="6"/>
  <c r="B15" i="6"/>
  <c r="B14" i="6"/>
  <c r="H13" i="6"/>
  <c r="B12" i="6"/>
  <c r="G12" i="6" s="1"/>
  <c r="H12" i="6" s="1"/>
  <c r="D12" i="6" s="1"/>
  <c r="B11" i="6"/>
  <c r="G11" i="6" s="1"/>
  <c r="H11" i="6" s="1"/>
  <c r="B8" i="6"/>
  <c r="G8" i="6" s="1"/>
  <c r="H8" i="6" s="1"/>
  <c r="B7" i="6"/>
  <c r="G7" i="6" s="1"/>
  <c r="H7" i="6" s="1"/>
  <c r="D7" i="6" s="1"/>
  <c r="B6" i="6"/>
  <c r="G6" i="6"/>
  <c r="B5" i="6"/>
  <c r="F6" i="6" s="1"/>
  <c r="H6" i="6" s="1"/>
  <c r="B4" i="6"/>
  <c r="G4" i="6" s="1"/>
  <c r="H4" i="6" s="1"/>
  <c r="D4" i="6" s="1"/>
  <c r="S249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G22" i="6" s="1"/>
  <c r="H22" i="6" s="1"/>
  <c r="F27" i="6"/>
  <c r="F64" i="6"/>
  <c r="G5" i="6"/>
  <c r="H5" i="6" s="1"/>
  <c r="G17" i="6"/>
  <c r="H17" i="6" s="1"/>
  <c r="G15" i="6"/>
  <c r="H15" i="6"/>
  <c r="B20" i="6"/>
  <c r="B21" i="6"/>
  <c r="G16" i="6"/>
  <c r="H16" i="6" s="1"/>
  <c r="B19" i="6"/>
  <c r="G19" i="6" s="1"/>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F43" i="5"/>
  <c r="E43" i="5"/>
  <c r="X43" i="5" s="1"/>
  <c r="H87" i="5"/>
  <c r="E87" i="5"/>
  <c r="X87" i="5" s="1"/>
  <c r="F103" i="5"/>
  <c r="E103" i="5"/>
  <c r="X103" i="5" s="1"/>
  <c r="I175" i="5"/>
  <c r="E175" i="5"/>
  <c r="X175"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X30" i="5"/>
  <c r="X56" i="5"/>
  <c r="X60" i="5"/>
  <c r="X64" i="5"/>
  <c r="X68" i="5"/>
  <c r="X80" i="5"/>
  <c r="X88" i="5"/>
  <c r="X343" i="5"/>
  <c r="X36" i="5"/>
  <c r="X40" i="5"/>
  <c r="X52" i="5"/>
  <c r="X72" i="5"/>
  <c r="X84" i="5"/>
  <c r="X101" i="5"/>
  <c r="X344" i="5"/>
  <c r="X531"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s="1"/>
  <c r="G1101" i="5"/>
  <c r="R1101" i="5"/>
  <c r="F1101" i="5"/>
  <c r="H1101" i="5"/>
  <c r="I1101" i="5"/>
  <c r="J1101" i="5"/>
  <c r="E1101" i="5"/>
  <c r="X1101" i="5"/>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c r="J1110" i="5"/>
  <c r="G1110" i="5"/>
  <c r="H1110" i="5"/>
  <c r="I1110" i="5"/>
  <c r="R1110" i="5"/>
  <c r="F1110" i="5"/>
  <c r="E1110" i="5"/>
  <c r="X1110" i="5" s="1"/>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c r="F1116" i="5"/>
  <c r="J1116" i="5"/>
  <c r="H1116" i="5"/>
  <c r="G1116" i="5"/>
  <c r="I1116" i="5"/>
  <c r="R1116" i="5"/>
  <c r="E1116" i="5"/>
  <c r="X1116" i="5" s="1"/>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E209" i="5"/>
  <c r="X209" i="5"/>
  <c r="J209" i="5"/>
  <c r="R209" i="5"/>
  <c r="F209" i="5"/>
  <c r="H209" i="5"/>
  <c r="I209" i="5"/>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X1040" i="5"/>
  <c r="C20" i="5" l="1"/>
  <c r="F69" i="6" s="1"/>
  <c r="C69" i="6" s="1"/>
  <c r="C21" i="5"/>
  <c r="C23" i="5"/>
  <c r="C16" i="6"/>
  <c r="B41" i="6"/>
  <c r="G41" i="6" s="1"/>
  <c r="B31" i="6"/>
  <c r="G31" i="6" s="1"/>
  <c r="F26" i="6"/>
  <c r="B46" i="6"/>
  <c r="G46" i="6" s="1"/>
  <c r="B26" i="6"/>
  <c r="G26" i="6" s="1"/>
  <c r="B36" i="6"/>
  <c r="G36" i="6" s="1"/>
  <c r="F21" i="6"/>
  <c r="G21" i="6"/>
  <c r="B51" i="6"/>
  <c r="G51" i="6" s="1"/>
  <c r="D16" i="6"/>
  <c r="C15" i="6"/>
  <c r="B30" i="6"/>
  <c r="G30" i="6" s="1"/>
  <c r="B40" i="6"/>
  <c r="G40" i="6" s="1"/>
  <c r="B50" i="6"/>
  <c r="G50" i="6" s="1"/>
  <c r="B25" i="6"/>
  <c r="G25" i="6" s="1"/>
  <c r="B35" i="6"/>
  <c r="G35" i="6" s="1"/>
  <c r="B45" i="6"/>
  <c r="G45" i="6" s="1"/>
  <c r="F20" i="6"/>
  <c r="F25" i="6"/>
  <c r="G20" i="6"/>
  <c r="B32" i="6"/>
  <c r="G32" i="6" s="1"/>
  <c r="B52" i="6"/>
  <c r="G52" i="6" s="1"/>
  <c r="B37" i="6"/>
  <c r="G37" i="6" s="1"/>
  <c r="B42" i="6"/>
  <c r="G42" i="6" s="1"/>
  <c r="B47" i="6"/>
  <c r="G47" i="6" s="1"/>
  <c r="B27" i="6"/>
  <c r="G27" i="6" s="1"/>
  <c r="C22" i="6"/>
  <c r="D22" i="6"/>
  <c r="F52" i="6"/>
  <c r="H52" i="6" s="1"/>
  <c r="F42" i="6"/>
  <c r="H42" i="6" s="1"/>
  <c r="H27" i="6"/>
  <c r="F68" i="6"/>
  <c r="F32" i="6"/>
  <c r="H32" i="6" s="1"/>
  <c r="F37" i="6"/>
  <c r="H37" i="6" s="1"/>
  <c r="F47" i="6"/>
  <c r="H47" i="6" s="1"/>
  <c r="C17" i="6"/>
  <c r="K68" i="6"/>
  <c r="D17" i="6"/>
  <c r="B39" i="6"/>
  <c r="G39" i="6" s="1"/>
  <c r="F24" i="6"/>
  <c r="B44" i="6"/>
  <c r="G44" i="6" s="1"/>
  <c r="B49" i="6"/>
  <c r="G49" i="6" s="1"/>
  <c r="B34" i="6"/>
  <c r="G34" i="6" s="1"/>
  <c r="B29" i="6"/>
  <c r="G29" i="6" s="1"/>
  <c r="B24" i="6"/>
  <c r="G24" i="6" s="1"/>
  <c r="G14" i="6"/>
  <c r="H14" i="6" s="1"/>
  <c r="B49" i="4"/>
  <c r="A33" i="6" s="1"/>
  <c r="B67" i="4"/>
  <c r="A48" i="6" s="1"/>
  <c r="B77" i="4"/>
  <c r="A55" i="6" s="1"/>
  <c r="B31" i="4"/>
  <c r="A18" i="6" s="1"/>
  <c r="B81" i="4"/>
  <c r="A58" i="6" s="1"/>
  <c r="B79" i="4"/>
  <c r="A57" i="6" s="1"/>
  <c r="B87" i="4"/>
  <c r="A62" i="6" s="1"/>
  <c r="B89" i="4"/>
  <c r="A63" i="6" s="1"/>
  <c r="B55" i="4"/>
  <c r="A38" i="6" s="1"/>
  <c r="B85" i="4"/>
  <c r="A60" i="6" s="1"/>
  <c r="B61" i="4"/>
  <c r="A43" i="6" s="1"/>
  <c r="B37" i="4"/>
  <c r="A23" i="6" s="1"/>
  <c r="B75" i="4"/>
  <c r="A54" i="6" s="1"/>
  <c r="B43" i="4"/>
  <c r="A28" i="6" s="1"/>
  <c r="B83" i="4"/>
  <c r="A59" i="6" s="1"/>
  <c r="H19" i="6"/>
  <c r="C12" i="6"/>
  <c r="D11" i="6"/>
  <c r="C11" i="6"/>
  <c r="C10" i="6"/>
  <c r="C9" i="6"/>
  <c r="C8" i="6"/>
  <c r="D8" i="6"/>
  <c r="C7" i="6"/>
  <c r="C5" i="6"/>
  <c r="D5" i="6"/>
  <c r="AB5" i="5"/>
  <c r="V5" i="5"/>
  <c r="C6" i="6"/>
  <c r="D6" i="6"/>
  <c r="C4" i="6"/>
  <c r="B25" i="5"/>
  <c r="B26" i="5"/>
  <c r="B27" i="5"/>
  <c r="B17" i="5"/>
  <c r="V17" i="5" s="1"/>
  <c r="B18" i="5"/>
  <c r="V18" i="5" s="1"/>
  <c r="B19" i="5"/>
  <c r="B20" i="5"/>
  <c r="B21" i="5"/>
  <c r="B22" i="5"/>
  <c r="B23" i="5"/>
  <c r="B6" i="5"/>
  <c r="B7" i="5"/>
  <c r="B8" i="5"/>
  <c r="B9" i="5"/>
  <c r="V9" i="5" s="1"/>
  <c r="B10" i="5"/>
  <c r="V10" i="5" s="1"/>
  <c r="B11" i="5"/>
  <c r="V11" i="5" s="1"/>
  <c r="B12" i="5"/>
  <c r="V12" i="5" s="1"/>
  <c r="B13" i="5"/>
  <c r="V13" i="5" s="1"/>
  <c r="B14" i="5"/>
  <c r="V14" i="5" s="1"/>
  <c r="B15" i="5"/>
  <c r="V15" i="5" s="1"/>
  <c r="B16" i="5"/>
  <c r="V16" i="5" s="1"/>
  <c r="B24" i="5"/>
  <c r="B53" i="4"/>
  <c r="A37" i="6" s="1"/>
  <c r="A27" i="6"/>
  <c r="B65" i="4"/>
  <c r="A47" i="6" s="1"/>
  <c r="B71" i="4"/>
  <c r="A52" i="6" s="1"/>
  <c r="B59" i="4"/>
  <c r="A42" i="6" s="1"/>
  <c r="A14" i="6"/>
  <c r="B32" i="4"/>
  <c r="A19" i="6" s="1"/>
  <c r="B52" i="4"/>
  <c r="A36" i="6" s="1"/>
  <c r="B70" i="4"/>
  <c r="A51" i="6" s="1"/>
  <c r="A26" i="6"/>
  <c r="B58" i="4"/>
  <c r="A41" i="6" s="1"/>
  <c r="B64" i="4"/>
  <c r="A46" i="6" s="1"/>
  <c r="A15" i="6"/>
  <c r="B33" i="4"/>
  <c r="A20" i="6" s="1"/>
  <c r="H64" i="6"/>
  <c r="B64" i="6"/>
  <c r="B35" i="4"/>
  <c r="A22" i="6" s="1"/>
  <c r="A17" i="6"/>
  <c r="A25" i="6"/>
  <c r="B69" i="4"/>
  <c r="A50" i="6" s="1"/>
  <c r="B57" i="4"/>
  <c r="A40" i="6" s="1"/>
  <c r="B63" i="4"/>
  <c r="A45" i="6" s="1"/>
  <c r="B51" i="4"/>
  <c r="A35" i="6" s="1"/>
  <c r="D49" i="4"/>
  <c r="D37" i="4"/>
  <c r="D74" i="4"/>
  <c r="D31" i="4"/>
  <c r="D61" i="4"/>
  <c r="D43" i="4"/>
  <c r="D67" i="4"/>
  <c r="D55" i="4"/>
  <c r="A16" i="6"/>
  <c r="B34" i="4"/>
  <c r="A21" i="6" s="1"/>
  <c r="B56" i="4"/>
  <c r="A39" i="6" s="1"/>
  <c r="B50" i="4"/>
  <c r="A34" i="6" s="1"/>
  <c r="B62" i="4"/>
  <c r="A44" i="6" s="1"/>
  <c r="A24" i="6"/>
  <c r="B68" i="4"/>
  <c r="A49" i="6" s="1"/>
  <c r="G55" i="4"/>
  <c r="G31" i="4"/>
  <c r="G67" i="4"/>
  <c r="G37" i="4"/>
  <c r="G43" i="4"/>
  <c r="G49" i="4"/>
  <c r="G61" i="4"/>
  <c r="G74" i="4"/>
  <c r="V21" i="5" l="1"/>
  <c r="H20" i="6"/>
  <c r="H26" i="6"/>
  <c r="F51" i="6"/>
  <c r="H51" i="6" s="1"/>
  <c r="F36" i="6"/>
  <c r="H36" i="6" s="1"/>
  <c r="F41" i="6"/>
  <c r="H41" i="6" s="1"/>
  <c r="F46" i="6"/>
  <c r="H46" i="6" s="1"/>
  <c r="F31" i="6"/>
  <c r="H31" i="6" s="1"/>
  <c r="F67" i="6"/>
  <c r="H21" i="6"/>
  <c r="C20" i="6"/>
  <c r="D20" i="6"/>
  <c r="K66" i="6"/>
  <c r="F40" i="6"/>
  <c r="H40" i="6" s="1"/>
  <c r="F35" i="6"/>
  <c r="H35" i="6" s="1"/>
  <c r="H25" i="6"/>
  <c r="F30" i="6"/>
  <c r="H30" i="6" s="1"/>
  <c r="F50" i="6"/>
  <c r="H50" i="6" s="1"/>
  <c r="F66" i="6"/>
  <c r="F45" i="6"/>
  <c r="H45" i="6" s="1"/>
  <c r="C52" i="6"/>
  <c r="D52" i="6"/>
  <c r="C42" i="6"/>
  <c r="D42" i="6"/>
  <c r="C27" i="6"/>
  <c r="D27" i="6"/>
  <c r="C32" i="6"/>
  <c r="D32" i="6"/>
  <c r="C37" i="6"/>
  <c r="D37" i="6"/>
  <c r="C47" i="6"/>
  <c r="D47" i="6"/>
  <c r="F34" i="6"/>
  <c r="H34" i="6" s="1"/>
  <c r="H24" i="6"/>
  <c r="F39" i="6"/>
  <c r="H39" i="6" s="1"/>
  <c r="F54" i="6"/>
  <c r="F29" i="6"/>
  <c r="H29" i="6" s="1"/>
  <c r="F44" i="6"/>
  <c r="H44" i="6" s="1"/>
  <c r="F65" i="6"/>
  <c r="F49" i="6"/>
  <c r="H49" i="6" s="1"/>
  <c r="C14" i="6"/>
  <c r="K65" i="6"/>
  <c r="D14" i="6"/>
  <c r="C19" i="6"/>
  <c r="D19" i="6"/>
  <c r="H5" i="5"/>
  <c r="R5" i="5"/>
  <c r="F5" i="5"/>
  <c r="E5" i="5"/>
  <c r="G5" i="5"/>
  <c r="J5" i="5"/>
  <c r="I5" i="5"/>
  <c r="AB25" i="5"/>
  <c r="V25" i="5"/>
  <c r="AB26" i="5"/>
  <c r="V26" i="5"/>
  <c r="AB27" i="5"/>
  <c r="V27" i="5"/>
  <c r="AB17" i="5"/>
  <c r="AB18" i="5"/>
  <c r="V19" i="5"/>
  <c r="AB19" i="5"/>
  <c r="V20" i="5"/>
  <c r="AB20" i="5"/>
  <c r="AB21" i="5"/>
  <c r="V22" i="5"/>
  <c r="AB22" i="5"/>
  <c r="V23" i="5"/>
  <c r="AB23" i="5"/>
  <c r="G66" i="6"/>
  <c r="H66" i="6" s="1"/>
  <c r="G67" i="6"/>
  <c r="H67" i="6" s="1"/>
  <c r="G65" i="6"/>
  <c r="H65" i="6" s="1"/>
  <c r="AB6" i="5"/>
  <c r="G68" i="6" s="1"/>
  <c r="H68" i="6" s="1"/>
  <c r="V6" i="5"/>
  <c r="AB7" i="5"/>
  <c r="V7" i="5"/>
  <c r="AB8" i="5"/>
  <c r="V8" i="5"/>
  <c r="AB9" i="5"/>
  <c r="AB10" i="5"/>
  <c r="AB11" i="5"/>
  <c r="AB12" i="5"/>
  <c r="AB13" i="5"/>
  <c r="AB14" i="5"/>
  <c r="AB15" i="5"/>
  <c r="AB16" i="5"/>
  <c r="V24" i="5"/>
  <c r="AB24" i="5"/>
  <c r="G9" i="5"/>
  <c r="H9" i="5"/>
  <c r="J9" i="5"/>
  <c r="I9" i="5"/>
  <c r="F9" i="5"/>
  <c r="R9" i="5"/>
  <c r="E9" i="5"/>
  <c r="J10" i="5"/>
  <c r="R10" i="5"/>
  <c r="F10" i="5"/>
  <c r="I10" i="5"/>
  <c r="H10" i="5"/>
  <c r="G10" i="5"/>
  <c r="E10" i="5"/>
  <c r="G11" i="5"/>
  <c r="I11" i="5"/>
  <c r="H11" i="5"/>
  <c r="R11" i="5"/>
  <c r="J11" i="5"/>
  <c r="F11" i="5"/>
  <c r="E11" i="5"/>
  <c r="F12" i="5"/>
  <c r="H12" i="5"/>
  <c r="I12" i="5"/>
  <c r="J12" i="5"/>
  <c r="R12" i="5"/>
  <c r="G12" i="5"/>
  <c r="E12" i="5"/>
  <c r="G13" i="5"/>
  <c r="I13" i="5"/>
  <c r="J13" i="5"/>
  <c r="R13" i="5"/>
  <c r="H13" i="5"/>
  <c r="F13" i="5"/>
  <c r="E13" i="5"/>
  <c r="G14" i="5"/>
  <c r="J14" i="5"/>
  <c r="R14" i="5"/>
  <c r="I14" i="5"/>
  <c r="H14" i="5"/>
  <c r="F14" i="5"/>
  <c r="E14" i="5"/>
  <c r="F15" i="5"/>
  <c r="R15" i="5"/>
  <c r="H15" i="5"/>
  <c r="J15" i="5"/>
  <c r="I15" i="5"/>
  <c r="G15" i="5"/>
  <c r="E15" i="5"/>
  <c r="G16" i="5"/>
  <c r="J16" i="5"/>
  <c r="F16" i="5"/>
  <c r="H16" i="5"/>
  <c r="I16" i="5"/>
  <c r="R16" i="5"/>
  <c r="E16" i="5"/>
  <c r="G17" i="5"/>
  <c r="R17" i="5"/>
  <c r="H17" i="5"/>
  <c r="F17" i="5"/>
  <c r="J17" i="5"/>
  <c r="I17" i="5"/>
  <c r="E17" i="5"/>
  <c r="F18" i="5"/>
  <c r="G18" i="5"/>
  <c r="H18" i="5"/>
  <c r="J18" i="5"/>
  <c r="I18" i="5"/>
  <c r="R18" i="5"/>
  <c r="E18" i="5"/>
  <c r="X5" i="5"/>
  <c r="S5" i="5"/>
  <c r="T5" i="5" s="1"/>
  <c r="D64" i="6"/>
  <c r="C64" i="6"/>
  <c r="I21" i="5" l="1"/>
  <c r="F21" i="5"/>
  <c r="E21" i="5"/>
  <c r="J21" i="5"/>
  <c r="R21" i="5"/>
  <c r="H21" i="5"/>
  <c r="G21" i="5"/>
  <c r="C26" i="6"/>
  <c r="D26" i="6"/>
  <c r="C51" i="6"/>
  <c r="D51" i="6"/>
  <c r="C36" i="6"/>
  <c r="D36" i="6"/>
  <c r="C41" i="6"/>
  <c r="D41" i="6"/>
  <c r="C46" i="6"/>
  <c r="D46" i="6"/>
  <c r="C31" i="6"/>
  <c r="D31" i="6"/>
  <c r="D21" i="6"/>
  <c r="C21" i="6"/>
  <c r="K67" i="6"/>
  <c r="C40" i="6"/>
  <c r="D40" i="6"/>
  <c r="C35" i="6"/>
  <c r="D35" i="6"/>
  <c r="C25" i="6"/>
  <c r="D25" i="6"/>
  <c r="C30" i="6"/>
  <c r="D30" i="6"/>
  <c r="C50" i="6"/>
  <c r="D50" i="6"/>
  <c r="C45" i="6"/>
  <c r="D45" i="6"/>
  <c r="D34" i="6"/>
  <c r="C34" i="6"/>
  <c r="C24" i="6"/>
  <c r="D24" i="6"/>
  <c r="C39" i="6"/>
  <c r="D39" i="6"/>
  <c r="F55" i="6"/>
  <c r="F57" i="6"/>
  <c r="H57" i="6" s="1"/>
  <c r="F60" i="6"/>
  <c r="H60" i="6" s="1"/>
  <c r="F63" i="6"/>
  <c r="H63" i="6" s="1"/>
  <c r="H54" i="6"/>
  <c r="F59" i="6"/>
  <c r="H59" i="6" s="1"/>
  <c r="F58" i="6"/>
  <c r="H58" i="6" s="1"/>
  <c r="F62" i="6"/>
  <c r="H62" i="6" s="1"/>
  <c r="C29" i="6"/>
  <c r="D29" i="6"/>
  <c r="C44" i="6"/>
  <c r="D44" i="6"/>
  <c r="C2" i="6"/>
  <c r="B2" i="6"/>
  <c r="C49" i="6"/>
  <c r="D49" i="6"/>
  <c r="R25" i="5"/>
  <c r="H25" i="5"/>
  <c r="J25" i="5"/>
  <c r="F25" i="5"/>
  <c r="I25" i="5"/>
  <c r="E25" i="5"/>
  <c r="G25" i="5"/>
  <c r="I26" i="5"/>
  <c r="R26" i="5"/>
  <c r="G26" i="5"/>
  <c r="H26" i="5"/>
  <c r="E26" i="5"/>
  <c r="F26" i="5"/>
  <c r="J26" i="5"/>
  <c r="E27" i="5"/>
  <c r="R27" i="5"/>
  <c r="I27" i="5"/>
  <c r="H27" i="5"/>
  <c r="G27" i="5"/>
  <c r="F27" i="5"/>
  <c r="J27" i="5"/>
  <c r="G19" i="5"/>
  <c r="I19" i="5"/>
  <c r="E19" i="5"/>
  <c r="J19" i="5"/>
  <c r="R19" i="5"/>
  <c r="H19" i="5"/>
  <c r="F19" i="5"/>
  <c r="E20" i="5"/>
  <c r="I20" i="5"/>
  <c r="R20" i="5"/>
  <c r="H20" i="5"/>
  <c r="G20" i="5"/>
  <c r="F20" i="5"/>
  <c r="J20" i="5"/>
  <c r="E22" i="5"/>
  <c r="R22" i="5"/>
  <c r="I22" i="5"/>
  <c r="H22" i="5"/>
  <c r="F22" i="5"/>
  <c r="G22" i="5"/>
  <c r="J22" i="5"/>
  <c r="E23" i="5"/>
  <c r="F23" i="5"/>
  <c r="I23" i="5"/>
  <c r="H23" i="5"/>
  <c r="R23" i="5"/>
  <c r="J23" i="5"/>
  <c r="G23" i="5"/>
  <c r="C66" i="6"/>
  <c r="D66" i="6"/>
  <c r="D67" i="6"/>
  <c r="C67" i="6"/>
  <c r="D65" i="6"/>
  <c r="C65" i="6"/>
  <c r="D68" i="6"/>
  <c r="C68" i="6"/>
  <c r="H6" i="5"/>
  <c r="E6" i="5"/>
  <c r="G6" i="5"/>
  <c r="I6" i="5"/>
  <c r="F6" i="5"/>
  <c r="J6" i="5"/>
  <c r="R6" i="5"/>
  <c r="I7" i="5"/>
  <c r="E7" i="5"/>
  <c r="H7" i="5"/>
  <c r="J7" i="5"/>
  <c r="T7" i="5" s="1"/>
  <c r="F7" i="5"/>
  <c r="R7" i="5"/>
  <c r="G7" i="5"/>
  <c r="E8" i="5"/>
  <c r="F8" i="5"/>
  <c r="H8" i="5"/>
  <c r="G8" i="5"/>
  <c r="I8" i="5"/>
  <c r="J8" i="5"/>
  <c r="R8" i="5"/>
  <c r="E24" i="5"/>
  <c r="G24" i="5"/>
  <c r="I24" i="5"/>
  <c r="H24" i="5"/>
  <c r="R24" i="5"/>
  <c r="F24" i="5"/>
  <c r="J24" i="5"/>
  <c r="X21" i="5"/>
  <c r="S21" i="5"/>
  <c r="T21" i="5" s="1"/>
  <c r="X9" i="5"/>
  <c r="S9" i="5"/>
  <c r="T9" i="5" s="1"/>
  <c r="X10" i="5"/>
  <c r="S10" i="5"/>
  <c r="T10" i="5" s="1"/>
  <c r="X11" i="5"/>
  <c r="S11" i="5"/>
  <c r="T11" i="5" s="1"/>
  <c r="X12" i="5"/>
  <c r="S12" i="5"/>
  <c r="T12" i="5" s="1"/>
  <c r="X13" i="5"/>
  <c r="S13" i="5"/>
  <c r="T13" i="5" s="1"/>
  <c r="X14" i="5"/>
  <c r="S14" i="5"/>
  <c r="T14" i="5" s="1"/>
  <c r="X15" i="5"/>
  <c r="S15" i="5"/>
  <c r="T15" i="5" s="1"/>
  <c r="X16" i="5"/>
  <c r="S16" i="5"/>
  <c r="T16" i="5" s="1"/>
  <c r="X17" i="5"/>
  <c r="S17" i="5"/>
  <c r="T17" i="5" s="1"/>
  <c r="X18" i="5"/>
  <c r="S18" i="5"/>
  <c r="T18" i="5" s="1"/>
  <c r="F56" i="6" l="1"/>
  <c r="H56" i="6" s="1"/>
  <c r="H55" i="6"/>
  <c r="D57" i="6"/>
  <c r="C57" i="6"/>
  <c r="C60" i="6"/>
  <c r="D60" i="6"/>
  <c r="C63" i="6"/>
  <c r="D63" i="6"/>
  <c r="C54" i="6"/>
  <c r="D54" i="6"/>
  <c r="C59" i="6"/>
  <c r="D59" i="6"/>
  <c r="C58" i="6"/>
  <c r="D58" i="6"/>
  <c r="C62" i="6"/>
  <c r="D62" i="6"/>
  <c r="X25" i="5"/>
  <c r="S25" i="5"/>
  <c r="T25" i="5" s="1"/>
  <c r="X26" i="5"/>
  <c r="S26" i="5"/>
  <c r="T26" i="5" s="1"/>
  <c r="X27" i="5"/>
  <c r="S27" i="5"/>
  <c r="T27" i="5" s="1"/>
  <c r="S19" i="5"/>
  <c r="T19" i="5" s="1"/>
  <c r="X19" i="5"/>
  <c r="S20" i="5"/>
  <c r="T20" i="5" s="1"/>
  <c r="X20" i="5"/>
  <c r="S22" i="5"/>
  <c r="T22" i="5" s="1"/>
  <c r="X22" i="5"/>
  <c r="S23" i="5"/>
  <c r="T23" i="5" s="1"/>
  <c r="X23" i="5"/>
  <c r="S6" i="5"/>
  <c r="T6" i="5" s="1"/>
  <c r="G69" i="6" a="1"/>
  <c r="G69" i="6" s="1"/>
  <c r="H69" i="6" s="1"/>
  <c r="H70" i="6" s="1"/>
  <c r="D2" i="6" s="1"/>
  <c r="X6" i="5"/>
  <c r="S7" i="5"/>
  <c r="X7" i="5"/>
  <c r="S8" i="5"/>
  <c r="T8" i="5" s="1"/>
  <c r="X8" i="5"/>
  <c r="S24" i="5"/>
  <c r="T24" i="5" s="1"/>
  <c r="X24" i="5"/>
  <c r="D56" i="6" l="1"/>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<sst xmlns="http://schemas.openxmlformats.org/spreadsheetml/2006/main" count="22570" uniqueCount="15892">
  <si>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</si>
  <si>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</si>
  <si>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</si>
  <si>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</si>
  <si>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</si>
  <si>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</si>
  <si>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</si>
  <si>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</si>
  <si>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</si>
  <si>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</si>
  <si>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</si>
  <si>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</si>
  <si>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</si>
  <si>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</si>
  <si>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</si>
  <si>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</si>
  <si>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</si>
  <si>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</si>
  <si>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</si>
  <si>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</si>
  <si>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</si>
  <si>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</si>
  <si>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</si>
  <si>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</si>
  <si>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</si>
  <si>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</si>
  <si>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</si>
  <si>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</si>
  <si>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</si>
  <si>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</si>
  <si>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</si>
  <si>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</si>
  <si>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</si>
  <si>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</si>
  <si>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</si>
  <si>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</si>
  <si>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</si>
  <si>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</si>
  <si>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</si>
  <si>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</si>
  <si>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</si>
  <si>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</si>
  <si>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</si>
  <si>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</si>
  <si>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</si>
  <si>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</si>
  <si>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</si>
  <si>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</si>
  <si>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</si>
  <si>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</si>
  <si>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</si>
  <si>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</si>
  <si>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</si>
  <si>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</si>
  <si>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</si>
  <si>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</si>
  <si>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</si>
  <si>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</si>
  <si>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</si>
  <si>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</si>
  <si>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</si>
  <si>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</si>
  <si>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</si>
  <si>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</si>
  <si>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</si>
  <si>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</si>
  <si>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</si>
  <si>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</si>
  <si>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</si>
  <si>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</si>
  <si>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</si>
  <si>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</si>
  <si>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</si>
  <si>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</si>
  <si>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</si>
  <si>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</si>
  <si>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</si>
  <si>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</si>
  <si>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</si>
  <si>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</si>
  <si>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</si>
  <si>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</si>
  <si>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</si>
  <si>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</si>
  <si>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</si>
  <si>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</si>
  <si>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</si>
  <si>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</si>
  <si>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</si>
  <si>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</si>
  <si>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</si>
  <si>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</si>
  <si>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</si>
  <si>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</si>
  <si>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</si>
  <si>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</si>
  <si>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</si>
  <si>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</si>
  <si>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</si>
  <si>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</si>
  <si>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</si>
  <si>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</si>
  <si>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</si>
  <si>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</si>
  <si>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</si>
  <si>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</si>
  <si>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</si>
  <si>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</si>
  <si>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</si>
  <si>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</si>
  <si>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</si>
  <si>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</si>
  <si>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</si>
  <si>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</si>
  <si>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</si>
  <si>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</si>
  <si>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</si>
  <si>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</si>
  <si>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</si>
  <si>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</si>
  <si>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</si>
  <si>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</si>
  <si>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</si>
  <si>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</si>
  <si>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</si>
  <si>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</si>
  <si>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</si>
  <si>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</si>
  <si>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</si>
  <si>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</si>
  <si>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</si>
  <si>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</si>
  <si>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</si>
  <si>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</si>
  <si>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</si>
  <si>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</si>
  <si>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</si>
  <si>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</si>
  <si>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</si>
  <si>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</si>
  <si>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</si>
  <si>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</si>
  <si>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</si>
  <si>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</si>
  <si>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</si>
  <si>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</si>
  <si>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</si>
  <si>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</si>
  <si>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</si>
  <si>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</si>
  <si>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</si>
  <si>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</si>
  <si>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</si>
  <si>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</si>
  <si>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</si>
  <si>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</si>
  <si>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</si>
  <si>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</si>
  <si>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</si>
  <si>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</si>
  <si>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</si>
  <si>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</si>
  <si>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</si>
  <si>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</si>
  <si>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</si>
  <si>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</si>
  <si>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</si>
  <si>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</si>
  <si>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</si>
  <si>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</si>
  <si>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</si>
  <si>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</si>
  <si>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</si>
  <si>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</si>
  <si>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</si>
  <si>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</si>
  <si>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</si>
  <si>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</si>
  <si>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</si>
  <si>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</si>
  <si>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</si>
  <si>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</si>
  <si>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</si>
  <si>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</si>
  <si>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</si>
  <si>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</si>
  <si>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</si>
  <si>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</si>
  <si>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</si>
  <si>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</si>
  <si>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</si>
  <si>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</si>
  <si>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</si>
  <si>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</si>
  <si>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</si>
  <si>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</si>
  <si>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</si>
  <si>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</si>
  <si>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</si>
  <si>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</si>
  <si>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</si>
  <si>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</si>
  <si>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</si>
  <si>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</si>
  <si>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</si>
  <si>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</si>
  <si>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</si>
  <si>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</si>
  <si>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</si>
  <si>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</si>
  <si>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</si>
  <si>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</si>
  <si>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</si>
  <si>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</si>
  <si>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</si>
  <si>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</si>
  <si>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</si>
  <si>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</si>
  <si>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</si>
  <si>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</si>
  <si>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</si>
  <si>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</si>
  <si>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</si>
  <si>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</si>
  <si>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</si>
  <si>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</si>
  <si>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</si>
  <si>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</si>
  <si>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</si>
  <si>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</si>
  <si>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</si>
  <si>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</si>
  <si>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</si>
  <si>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</si>
  <si>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</si>
  <si>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</si>
  <si>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</si>
  <si>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</si>
  <si>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</si>
  <si>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</si>
  <si>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</si>
  <si>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</si>
  <si>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</si>
  <si>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</si>
  <si>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</si>
  <si>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</si>
  <si>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</si>
  <si>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</si>
  <si>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</si>
  <si>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</si>
  <si>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</si>
  <si>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</si>
  <si>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</si>
  <si>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</si>
  <si>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</si>
  <si>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</si>
  <si>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</si>
  <si>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</si>
  <si>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</si>
  <si>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</si>
  <si>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</si>
  <si>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</si>
  <si>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</si>
  <si>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</si>
  <si>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</si>
  <si>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</si>
  <si>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</si>
  <si>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</si>
  <si>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</si>
  <si>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</si>
  <si>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</si>
  <si>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</si>
  <si>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</si>
  <si>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</si>
  <si>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</si>
  <si>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</si>
  <si>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</si>
  <si>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</si>
  <si>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</si>
  <si>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</si>
  <si>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</si>
  <si>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</si>
  <si>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</si>
  <si>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</si>
  <si>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</si>
  <si>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</si>
  <si>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</si>
  <si>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</si>
  <si>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</si>
  <si>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</si>
  <si>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</si>
  <si>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</si>
  <si>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</si>
  <si>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</si>
  <si>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</si>
  <si>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</si>
  <si>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</si>
  <si>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</si>
  <si>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</si>
  <si>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</si>
  <si>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</si>
  <si>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</si>
  <si>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</si>
  <si>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</si>
  <si>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</si>
  <si>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</si>
  <si>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</si>
  <si>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</si>
  <si>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</si>
  <si>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</si>
  <si>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</si>
  <si>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</si>
  <si>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</si>
  <si>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</si>
  <si>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</si>
  <si>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</si>
  <si>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</si>
  <si>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</si>
  <si>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</si>
  <si>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</si>
  <si>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</si>
  <si>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</si>
  <si>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</si>
  <si>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</si>
  <si>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</si>
  <si>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</si>
  <si>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</si>
  <si>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</si>
  <si>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</si>
  <si>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</si>
  <si>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</si>
  <si>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</si>
  <si>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</si>
  <si>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</si>
  <si>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</si>
  <si>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</si>
  <si>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</si>
  <si>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</si>
  <si>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</si>
  <si>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</si>
  <si>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</si>
  <si>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</si>
  <si>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</si>
  <si>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</si>
  <si>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</si>
  <si>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</si>
  <si>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</si>
  <si>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</si>
  <si>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</si>
  <si>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</si>
  <si>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</si>
  <si>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</si>
  <si>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</si>
  <si>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</si>
  <si>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</si>
  <si>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</si>
  <si>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</si>
  <si>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</si>
  <si>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</si>
  <si>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</si>
  <si>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</si>
  <si>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</si>
  <si>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</si>
  <si>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</si>
  <si>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</si>
  <si>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</si>
  <si>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</si>
  <si>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</si>
  <si>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</si>
  <si>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</si>
  <si>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</si>
  <si>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</si>
  <si>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</si>
  <si>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</si>
  <si>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</si>
  <si>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</si>
  <si>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</si>
  <si>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</si>
  <si>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</si>
  <si>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</si>
  <si>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</si>
  <si>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</si>
  <si>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</si>
  <si>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</si>
  <si>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</si>
  <si>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</si>
  <si>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</si>
  <si>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</si>
  <si>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</si>
  <si>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</si>
  <si>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</si>
  <si>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</si>
  <si>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</si>
  <si>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</si>
  <si>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</si>
  <si>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</si>
  <si>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</si>
  <si>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</si>
  <si>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</si>
  <si>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</si>
  <si>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</si>
  <si>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</si>
  <si>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</si>
  <si>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</si>
  <si>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</si>
  <si>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</si>
  <si>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</si>
  <si>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</si>
  <si>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</si>
  <si>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</si>
  <si>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</si>
  <si>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</si>
  <si>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</si>
  <si>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</si>
  <si>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</si>
  <si>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</si>
  <si>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</si>
  <si>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</si>
  <si>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</si>
  <si>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</si>
  <si>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</si>
  <si>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</si>
  <si>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</si>
  <si>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</si>
  <si>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</si>
  <si>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</si>
  <si>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</si>
  <si>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</si>
  <si>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</si>
  <si>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</si>
  <si>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</si>
  <si>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</si>
  <si>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</si>
  <si>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</si>
  <si>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</si>
  <si>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</si>
  <si>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</si>
  <si>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</si>
  <si>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</si>
  <si>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</si>
  <si>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</si>
  <si>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</si>
  <si>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</si>
  <si>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</si>
  <si>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</si>
  <si>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</si>
  <si>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</si>
  <si>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</si>
  <si>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</si>
  <si>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</si>
  <si>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</si>
  <si>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</si>
  <si>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</si>
  <si>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</si>
  <si>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</si>
  <si>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</si>
  <si>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</si>
  <si>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</si>
  <si>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</si>
  <si>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</si>
  <si>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</si>
  <si>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</si>
  <si>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</si>
  <si>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</si>
  <si>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</si>
  <si>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</si>
  <si>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</si>
  <si>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</si>
  <si>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</si>
  <si>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</si>
  <si>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</si>
  <si>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</si>
  <si>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</si>
  <si>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</si>
  <si>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</si>
  <si>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</si>
  <si>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</si>
  <si>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</si>
  <si>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</si>
  <si>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</si>
  <si>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</si>
  <si>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</si>
  <si>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</si>
  <si>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</si>
  <si>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</si>
  <si>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</si>
  <si>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</si>
  <si>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</si>
  <si>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</si>
  <si>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</si>
  <si>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</si>
  <si>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</si>
  <si>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</si>
  <si>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</si>
  <si>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</si>
  <si>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</si>
  <si>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</si>
  <si>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</si>
  <si>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</si>
  <si>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</si>
  <si>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</si>
  <si>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</si>
  <si>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</si>
  <si>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</si>
  <si>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</si>
  <si>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</si>
  <si>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</si>
  <si>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</si>
  <si>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</si>
  <si>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</si>
  <si>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</si>
  <si>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</si>
  <si>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</si>
  <si>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</si>
  <si>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</si>
  <si>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</si>
  <si>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</si>
  <si>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</si>
  <si>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</si>
  <si>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</si>
  <si>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</si>
  <si>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</si>
  <si>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</si>
  <si>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</si>
  <si>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</si>
  <si>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</si>
  <si>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</si>
  <si>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</si>
  <si>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</si>
  <si>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</si>
  <si>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</si>
  <si>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</si>
  <si>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</si>
  <si>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</si>
  <si>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</si>
  <si>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</si>
  <si>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</si>
  <si>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</si>
  <si>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</si>
  <si>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</si>
  <si>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</si>
  <si>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</si>
  <si>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</si>
  <si>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</si>
  <si>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</si>
  <si>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</si>
  <si>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</si>
  <si>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</si>
  <si>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</si>
  <si>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</si>
  <si>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</si>
  <si>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</si>
  <si>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</si>
  <si>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</si>
  <si>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</si>
  <si>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</si>
  <si>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</si>
  <si>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</si>
  <si>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</si>
  <si>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</si>
  <si>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</si>
  <si>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</si>
  <si>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</si>
  <si>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</si>
  <si>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</si>
  <si>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</si>
  <si>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</si>
  <si>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</si>
  <si>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</si>
  <si>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</si>
  <si>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</si>
  <si>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</si>
  <si>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</si>
  <si>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</si>
  <si>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</si>
  <si>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</si>
  <si>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</si>
  <si>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</si>
  <si>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</si>
  <si>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</si>
  <si>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</si>
  <si>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</si>
  <si>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</si>
  <si>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</si>
  <si>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</si>
  <si>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</si>
  <si>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</si>
  <si>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</si>
  <si>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</si>
  <si>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</si>
  <si>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</si>
  <si>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</si>
  <si>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</si>
  <si>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</si>
  <si>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</si>
  <si>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</si>
  <si>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</si>
  <si>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</si>
  <si>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</si>
  <si>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</si>
  <si>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</si>
  <si>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</si>
  <si>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</si>
  <si>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</si>
  <si>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</si>
  <si>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</si>
  <si>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</si>
  <si>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</si>
  <si>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</si>
  <si>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</si>
  <si>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</si>
  <si>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</si>
  <si>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</si>
  <si>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</si>
  <si>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</si>
  <si>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</si>
  <si>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</si>
  <si>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</si>
  <si>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</si>
  <si>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</si>
  <si>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</si>
  <si>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</si>
  <si>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</si>
  <si>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</si>
  <si>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</si>
  <si>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</si>
  <si>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</si>
  <si>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</si>
  <si>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</si>
  <si>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</si>
  <si>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</si>
  <si>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</si>
  <si>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</si>
  <si>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</si>
  <si>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</si>
  <si>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</si>
  <si>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</si>
  <si>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</si>
  <si>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</si>
  <si>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</si>
  <si>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</si>
  <si>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</si>
  <si>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</si>
  <si>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</si>
  <si>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</si>
  <si>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</si>
  <si>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</si>
  <si>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</si>
  <si>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</si>
  <si>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</si>
  <si>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</si>
  <si>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</si>
  <si>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</si>
  <si>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</si>
  <si>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</si>
  <si>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</si>
  <si>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</si>
  <si>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</si>
  <si>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</si>
  <si>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</si>
  <si>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</si>
  <si>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</si>
  <si>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</si>
  <si>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</si>
  <si>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</si>
  <si>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</si>
  <si>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</si>
  <si>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</si>
  <si>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</si>
  <si>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</si>
  <si>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</si>
  <si>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</si>
  <si>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</si>
  <si>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</si>
  <si>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</si>
  <si>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</si>
  <si>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</si>
  <si>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</si>
  <si>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</si>
  <si>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</si>
  <si>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</si>
  <si>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</si>
  <si>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</si>
  <si>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</si>
  <si>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</si>
  <si>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</si>
  <si>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</si>
  <si>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</si>
  <si>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</si>
  <si>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</si>
  <si>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</si>
  <si>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</si>
  <si>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</si>
  <si>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</si>
  <si>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</si>
  <si>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</si>
  <si>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</si>
  <si>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</si>
  <si>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</si>
  <si>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</si>
  <si>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</si>
  <si>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</si>
  <si>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</si>
  <si>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</si>
  <si>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</si>
  <si>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</si>
  <si>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</si>
  <si>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</si>
  <si>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</si>
  <si>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</si>
  <si>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</si>
  <si>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</si>
  <si>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</si>
  <si>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</si>
  <si>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</si>
  <si>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</si>
  <si>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</si>
  <si>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</si>
  <si>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</si>
  <si>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</si>
  <si>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</si>
  <si>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</si>
  <si>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</si>
  <si>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</si>
  <si>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</si>
  <si>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</si>
  <si>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</si>
  <si>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</si>
  <si>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</si>
  <si>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</si>
  <si>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</si>
  <si>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</si>
  <si>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</si>
  <si>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</si>
  <si>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</si>
  <si>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</si>
  <si>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</si>
  <si>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</si>
  <si>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</si>
  <si>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</si>
  <si>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</si>
  <si>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</si>
  <si>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</si>
  <si>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</si>
  <si>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</si>
  <si>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</si>
  <si>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</si>
  <si>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</si>
  <si>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</si>
  <si>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</si>
  <si>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</si>
  <si>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</si>
  <si>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</si>
  <si>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</si>
  <si>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</si>
  <si>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</si>
  <si>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</si>
  <si>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</si>
  <si>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</si>
  <si>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</si>
  <si>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</si>
  <si>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</si>
  <si>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</si>
  <si>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</si>
  <si>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</si>
  <si>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</si>
  <si>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</si>
  <si>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</si>
  <si>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</si>
  <si>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</si>
  <si>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</si>
  <si>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</si>
  <si>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</si>
  <si>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</si>
  <si>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</si>
  <si>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</si>
  <si>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</si>
  <si>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</si>
  <si>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</si>
  <si>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</si>
  <si>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</si>
  <si>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</si>
  <si>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</si>
  <si>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</si>
  <si>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</si>
  <si>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</si>
  <si>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</si>
  <si>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</si>
  <si>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</si>
  <si>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</si>
  <si>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</si>
  <si>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</si>
  <si>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</si>
  <si>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</si>
  <si>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</si>
  <si>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</si>
  <si>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</si>
  <si>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</si>
  <si>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</si>
  <si>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</si>
  <si>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</si>
  <si>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</si>
  <si>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</si>
  <si>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</si>
  <si>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</si>
  <si>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</si>
  <si>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</si>
  <si>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</si>
  <si>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</si>
  <si>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</si>
  <si>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</si>
  <si>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</si>
  <si>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</si>
  <si>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</si>
  <si>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</si>
  <si>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</si>
  <si>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</si>
  <si>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</si>
  <si>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</si>
  <si>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</si>
  <si>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</si>
  <si>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</si>
  <si>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</si>
  <si>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</si>
  <si>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</si>
  <si>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</si>
  <si>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</si>
  <si>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</si>
  <si>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</si>
  <si>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</si>
  <si>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</si>
  <si>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</si>
  <si>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</si>
  <si>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</si>
  <si>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</si>
  <si>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</si>
  <si>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</si>
  <si>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</si>
  <si>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</si>
  <si>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</si>
  <si>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</si>
  <si>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</si>
  <si>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</si>
  <si>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</si>
  <si>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</si>
  <si>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</si>
  <si>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</si>
  <si>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</si>
  <si>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</si>
  <si>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</si>
  <si>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</si>
  <si>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</si>
  <si>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</si>
  <si>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</si>
  <si>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</si>
  <si>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</si>
  <si>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</si>
  <si>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</si>
  <si>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</si>
  <si>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</si>
  <si>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</si>
  <si>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</si>
  <si>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</si>
  <si>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</si>
  <si>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</si>
  <si>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</si>
  <si>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</si>
  <si>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</si>
  <si>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</si>
  <si>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</si>
  <si>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</si>
  <si>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</si>
  <si>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</si>
  <si>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</si>
  <si>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</si>
  <si>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</si>
  <si>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</si>
  <si>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</si>
  <si>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</si>
  <si>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</si>
  <si>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</si>
  <si>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</si>
  <si>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</si>
  <si>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</si>
  <si>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</si>
  <si>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</si>
  <si>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</si>
  <si>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</si>
  <si>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</si>
  <si>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</si>
  <si>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</si>
  <si>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</si>
  <si>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</si>
  <si>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</si>
  <si>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</si>
  <si>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</si>
  <si>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</si>
  <si>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</si>
  <si>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</si>
  <si>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</si>
  <si>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</si>
  <si>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</si>
  <si>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</si>
  <si>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</si>
  <si>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</si>
  <si>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</si>
  <si>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</si>
  <si>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</si>
  <si>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</si>
  <si>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</si>
  <si>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</si>
  <si>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</si>
  <si>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</si>
  <si>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</si>
  <si>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</si>
  <si>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</si>
  <si>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</si>
  <si>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</si>
  <si>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</si>
  <si>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</si>
  <si>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</si>
  <si>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</si>
  <si>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</si>
  <si>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</si>
  <si>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</si>
  <si>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</si>
  <si>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</si>
  <si>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</si>
  <si>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</si>
  <si>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</si>
  <si>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</si>
  <si>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</si>
  <si>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</si>
  <si>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</si>
  <si>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</si>
  <si>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</si>
  <si>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</si>
  <si>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</si>
  <si>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</si>
  <si>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</si>
  <si>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</si>
  <si>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</si>
  <si>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</si>
  <si>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</si>
  <si>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</si>
  <si>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</si>
  <si>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</si>
  <si>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</si>
  <si>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</si>
  <si>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</si>
  <si>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</si>
  <si>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</si>
  <si>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</si>
  <si>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</si>
  <si>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</si>
  <si>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</si>
  <si>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</si>
  <si>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</si>
  <si>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</si>
  <si>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</si>
  <si>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</si>
  <si>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</si>
  <si>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</si>
  <si>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</si>
  <si>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</si>
  <si>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</si>
  <si>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</si>
  <si>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</si>
  <si>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</si>
  <si>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</si>
  <si>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</si>
  <si>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</si>
  <si>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</si>
  <si>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</si>
  <si>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</si>
  <si>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</si>
  <si>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</si>
  <si>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</si>
  <si>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</si>
  <si>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</si>
  <si>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</si>
  <si>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</si>
  <si>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</si>
  <si>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</si>
  <si>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</si>
  <si>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</si>
  <si>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</si>
  <si>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</si>
  <si>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</si>
  <si>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</si>
  <si>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</si>
  <si>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</si>
  <si>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</si>
  <si>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</si>
  <si>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</si>
  <si>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</si>
  <si>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</si>
  <si>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</si>
  <si>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</si>
  <si>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</si>
  <si>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</si>
  <si>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</si>
  <si>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</si>
  <si>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</si>
  <si>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</si>
  <si>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</si>
  <si>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</si>
  <si>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</si>
  <si>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</si>
  <si>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</si>
  <si>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</si>
  <si>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</si>
  <si>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</si>
  <si>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</si>
  <si>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</si>
  <si>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</si>
  <si>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</si>
  <si>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</si>
  <si>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</si>
  <si>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</si>
  <si>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</si>
  <si>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</si>
  <si>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</si>
  <si>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</si>
  <si>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</si>
  <si>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</si>
  <si>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</si>
  <si>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</si>
  <si>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</si>
  <si>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</si>
  <si>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</si>
  <si>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</si>
  <si>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</si>
  <si>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</si>
  <si>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</si>
  <si>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</si>
  <si>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</si>
  <si>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</si>
  <si>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</si>
  <si>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</si>
  <si>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</si>
  <si>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</si>
  <si>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</si>
  <si>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</si>
  <si>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</si>
  <si>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</si>
  <si>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</si>
  <si>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</si>
  <si>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</si>
  <si>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</si>
  <si>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</si>
  <si>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</si>
  <si>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</si>
  <si>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</si>
  <si>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</si>
  <si>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</si>
  <si>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</si>
  <si>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</si>
  <si>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</si>
  <si>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</si>
  <si>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</si>
  <si>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</si>
  <si>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</si>
  <si>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</si>
  <si>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</si>
  <si>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</si>
  <si>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</si>
  <si>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</si>
  <si>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</si>
  <si>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</si>
  <si>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</si>
  <si>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</si>
  <si>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</si>
  <si>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</si>
  <si>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</si>
  <si>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</si>
  <si>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</si>
  <si>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</si>
  <si>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</si>
  <si>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</si>
  <si>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</si>
  <si>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</si>
  <si>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</si>
  <si>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</si>
  <si>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</si>
  <si>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</si>
  <si>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</si>
  <si>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</si>
  <si>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</si>
  <si>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</si>
  <si>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</si>
  <si>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</si>
  <si>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</si>
  <si>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</si>
  <si>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</si>
  <si>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</si>
  <si>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</si>
  <si>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</si>
  <si>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</si>
  <si>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</si>
  <si>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</si>
  <si>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</si>
  <si>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</si>
  <si>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</si>
  <si>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</si>
  <si>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</si>
  <si>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</si>
  <si>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</si>
  <si>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</si>
  <si>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</si>
  <si>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</si>
  <si>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</si>
  <si>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</si>
  <si>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</si>
  <si>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</si>
  <si>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</si>
  <si>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</si>
  <si>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</si>
  <si>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</si>
  <si>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</si>
  <si>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</si>
  <si>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</si>
  <si>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</si>
  <si>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</si>
  <si>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</si>
  <si>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</si>
  <si>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</si>
  <si>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</si>
  <si>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</si>
  <si>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</si>
  <si>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</si>
  <si>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</si>
  <si>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</si>
  <si>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</si>
  <si>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</si>
  <si>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</si>
  <si>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</si>
  <si>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</si>
  <si>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</si>
  <si>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</si>
  <si>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</si>
  <si>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</si>
  <si>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</si>
  <si>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</si>
  <si>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</si>
  <si>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</si>
  <si>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</si>
  <si>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</si>
  <si>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</si>
  <si>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</si>
  <si>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</si>
  <si>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</si>
  <si>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</si>
  <si>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</si>
  <si>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</si>
  <si>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</si>
  <si>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</si>
  <si>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</si>
  <si>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</si>
  <si>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</si>
  <si>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</si>
  <si>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</si>
  <si>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</si>
  <si>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</si>
  <si>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</si>
  <si>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</si>
  <si>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</si>
  <si>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</si>
  <si>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</si>
  <si>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</si>
  <si>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</si>
  <si>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</si>
  <si>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</si>
  <si>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</si>
  <si>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</si>
  <si>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</si>
  <si>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</si>
  <si>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</si>
  <si>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</si>
  <si>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</si>
  <si>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</si>
  <si>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</si>
  <si>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</si>
  <si>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</si>
  <si>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</si>
  <si>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</si>
  <si>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</si>
  <si>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</si>
  <si>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</si>
  <si>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</si>
  <si>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</si>
  <si>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</si>
  <si>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</si>
  <si>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</si>
  <si>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</si>
  <si>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</si>
  <si>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</si>
  <si>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</si>
  <si>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</si>
  <si>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</si>
  <si>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</si>
  <si>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</si>
  <si>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</si>
  <si>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</si>
  <si>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</si>
  <si>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</si>
  <si>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</si>
  <si>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</si>
  <si>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</si>
  <si>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</si>
  <si>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</si>
  <si>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</si>
  <si>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</si>
  <si>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</si>
  <si>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</si>
  <si>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</si>
  <si>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</si>
  <si>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</si>
  <si>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</si>
  <si>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</si>
  <si>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</si>
  <si>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</si>
  <si>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</si>
  <si>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</si>
  <si>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</si>
  <si>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</si>
  <si>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</si>
  <si>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</si>
  <si>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</si>
  <si>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</si>
  <si>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</si>
  <si>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</si>
  <si>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</si>
  <si>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</si>
  <si>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</si>
  <si>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</si>
  <si>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</si>
  <si>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</si>
  <si>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</si>
  <si>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</si>
  <si>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</si>
  <si>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</si>
  <si>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</si>
  <si>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</si>
  <si>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</si>
  <si>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</si>
  <si>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</si>
  <si>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</si>
  <si>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</si>
  <si>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</si>
  <si>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</si>
  <si>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</si>
  <si>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</si>
  <si>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</si>
  <si>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</si>
  <si>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</si>
  <si>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</si>
  <si>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</si>
  <si>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</si>
  <si>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</si>
  <si>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</si>
  <si>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</si>
  <si>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</si>
  <si>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</si>
  <si>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</si>
  <si>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</si>
  <si>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</si>
  <si>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</si>
  <si>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</si>
  <si>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</si>
  <si>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</si>
  <si>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</si>
  <si>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</si>
  <si>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</si>
  <si>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</si>
  <si>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</si>
  <si>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</si>
  <si>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</si>
  <si>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</si>
  <si>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</si>
  <si>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</si>
  <si>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</si>
  <si>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</si>
  <si>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</si>
  <si>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</si>
  <si>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</si>
  <si>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</si>
  <si>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</si>
  <si>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</si>
  <si>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</si>
  <si>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</si>
  <si>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</si>
  <si>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</si>
  <si>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</si>
  <si>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</si>
  <si>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</si>
  <si>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</si>
  <si>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</si>
  <si>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</si>
  <si>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</si>
  <si>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</si>
  <si>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</si>
  <si>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</si>
  <si>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</si>
  <si>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</si>
  <si>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</si>
  <si>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</si>
  <si>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</si>
  <si>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</si>
  <si>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</si>
  <si>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</si>
  <si>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</si>
  <si>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</si>
  <si>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</si>
  <si>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</si>
  <si>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</si>
  <si>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</si>
  <si>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</si>
  <si>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</si>
  <si>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</si>
  <si>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</si>
  <si>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</si>
  <si>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</si>
  <si>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</si>
  <si>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</si>
  <si>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</si>
  <si>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</si>
  <si>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</si>
  <si>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</si>
  <si>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</si>
  <si>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</si>
  <si>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</si>
  <si>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</si>
  <si>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</si>
  <si>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</si>
  <si>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</si>
  <si>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</si>
  <si>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</si>
  <si>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</si>
  <si>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</si>
  <si>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</si>
  <si>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</si>
  <si>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</si>
  <si>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</si>
  <si>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</si>
  <si>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</si>
  <si>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</si>
  <si>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</si>
  <si>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</si>
  <si>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</si>
  <si>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</si>
  <si>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</si>
  <si>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</si>
  <si>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</si>
  <si>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</si>
  <si>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</si>
  <si>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</si>
  <si>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</si>
  <si>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</si>
  <si>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</si>
  <si>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</si>
  <si>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</si>
  <si>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</si>
  <si>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</si>
  <si>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</si>
  <si>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</si>
  <si>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</si>
  <si>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</si>
  <si>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</si>
  <si>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</si>
  <si>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</si>
  <si>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</si>
  <si>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</si>
  <si>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</si>
  <si>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</si>
  <si>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</si>
  <si>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</si>
  <si>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</si>
  <si>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</si>
  <si>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</si>
  <si>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</si>
  <si>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</si>
  <si>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</si>
  <si>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</si>
  <si>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</si>
  <si>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</si>
  <si>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</si>
  <si>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</si>
  <si>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</si>
  <si>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</si>
  <si>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</si>
  <si>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</si>
  <si>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</si>
  <si>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</si>
  <si>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</si>
  <si>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</si>
  <si>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</si>
  <si>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</si>
  <si>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</si>
  <si>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</si>
  <si>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</si>
  <si>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</si>
  <si>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</si>
  <si>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</si>
  <si>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</si>
  <si>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</si>
  <si>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</si>
  <si>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</si>
  <si>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</si>
  <si>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</si>
  <si>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</si>
  <si>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</si>
  <si>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</si>
  <si>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</si>
  <si>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</si>
  <si>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</si>
  <si>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</si>
  <si>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</si>
  <si>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</si>
  <si>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</si>
  <si>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</si>
  <si>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</si>
  <si>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</si>
  <si>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</si>
  <si>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</si>
  <si>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</si>
  <si>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</si>
  <si>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</si>
  <si>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</si>
  <si>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</si>
  <si>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</si>
  <si>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</si>
  <si>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</si>
  <si>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</si>
  <si>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</si>
  <si>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</si>
  <si>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</si>
  <si>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</si>
  <si>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</si>
  <si>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</si>
  <si>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</si>
  <si>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</si>
  <si>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</si>
  <si>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</si>
  <si>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</si>
  <si>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</si>
  <si>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</si>
  <si>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</si>
  <si>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</si>
  <si>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</si>
  <si>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</si>
  <si>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</si>
  <si>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</si>
  <si>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</si>
  <si>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</si>
  <si>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</si>
  <si>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</si>
  <si>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</si>
  <si>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</si>
  <si>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</si>
  <si>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</si>
  <si>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</si>
  <si>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</si>
  <si>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</si>
  <si>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</si>
  <si>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</si>
  <si>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</si>
  <si>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</si>
  <si>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</si>
  <si>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</si>
  <si>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</si>
  <si>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</si>
  <si>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</si>
  <si>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</si>
  <si>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</si>
  <si>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</si>
  <si>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</si>
  <si>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</si>
  <si>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</si>
  <si>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</si>
  <si>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</si>
  <si>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</si>
  <si>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</si>
  <si>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</si>
  <si>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</si>
  <si>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</si>
  <si>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</si>
  <si>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</si>
  <si>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</si>
  <si>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</si>
  <si>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</si>
  <si>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</si>
  <si>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</si>
  <si>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</si>
  <si>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</si>
  <si>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</si>
  <si>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</si>
  <si>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</si>
  <si>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</si>
  <si>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</si>
  <si>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</si>
  <si>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</si>
  <si>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</si>
  <si>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</si>
  <si>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</si>
  <si>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</si>
  <si>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</si>
  <si>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</si>
  <si>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</si>
  <si>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</si>
  <si>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</si>
  <si>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</si>
  <si>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</si>
  <si>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</si>
  <si>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</si>
  <si>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</si>
  <si>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</si>
  <si>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</si>
  <si>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</si>
  <si>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</si>
  <si>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</si>
  <si>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</si>
  <si>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</si>
  <si>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</si>
  <si>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</si>
  <si>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</si>
  <si>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</si>
  <si>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</si>
  <si>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</si>
  <si>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</si>
  <si>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</si>
  <si>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</si>
  <si>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</si>
  <si>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</si>
  <si>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</si>
  <si>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</si>
  <si>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</si>
  <si>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</si>
  <si>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</si>
  <si>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</si>
  <si>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</si>
  <si>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</si>
  <si>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</si>
  <si>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</si>
  <si>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</si>
  <si>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</si>
  <si>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</si>
  <si>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</si>
  <si>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</si>
  <si>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</si>
  <si>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</si>
  <si>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</si>
  <si>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</si>
  <si>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</si>
  <si>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</si>
  <si>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</si>
  <si>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</si>
  <si>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</si>
  <si>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</si>
  <si>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</si>
  <si>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</si>
  <si>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</si>
  <si>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</si>
  <si>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</si>
  <si>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</si>
  <si>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</si>
  <si>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</si>
  <si>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</si>
  <si>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</si>
  <si>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</si>
  <si>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</si>
  <si>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</si>
  <si>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</si>
  <si>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</si>
  <si>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</si>
  <si>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</si>
  <si>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</si>
  <si>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</si>
  <si>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</si>
  <si>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</si>
  <si>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</si>
  <si>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</si>
  <si>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</si>
  <si>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</si>
  <si>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</si>
  <si>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</si>
  <si>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</si>
  <si>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</si>
  <si>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</si>
  <si>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</si>
  <si>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</si>
  <si>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</si>
  <si>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</si>
  <si>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</si>
  <si>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</si>
  <si>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</si>
  <si>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</si>
  <si>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</si>
  <si>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</si>
  <si>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</si>
  <si>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</si>
  <si>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</si>
  <si>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</si>
  <si>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</si>
  <si>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</si>
  <si>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</si>
  <si>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</si>
  <si>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</si>
  <si>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</si>
  <si>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</si>
  <si>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</si>
  <si>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</si>
  <si>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</si>
  <si>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</si>
  <si>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</si>
  <si>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</si>
  <si>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</si>
  <si>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</si>
  <si>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</si>
  <si>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</si>
  <si>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</si>
  <si>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</si>
  <si>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</si>
  <si>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</si>
  <si>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</si>
  <si>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</si>
  <si>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</si>
  <si>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</si>
  <si>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</si>
  <si>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</si>
  <si>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</si>
  <si>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</si>
  <si>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</si>
  <si>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</si>
  <si>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</si>
  <si>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</si>
  <si>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</si>
  <si>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</si>
  <si>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</si>
  <si>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</si>
  <si>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</si>
  <si>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</si>
  <si>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</si>
  <si>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</si>
  <si>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</si>
  <si>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</si>
  <si>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</si>
  <si>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</si>
  <si>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</si>
  <si>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</si>
  <si>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</si>
  <si>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</si>
  <si>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</si>
  <si>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</si>
  <si>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</si>
  <si>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</si>
  <si>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</si>
  <si>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</si>
  <si>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</si>
  <si>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</si>
  <si>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</si>
  <si>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</si>
  <si>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</si>
  <si>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</si>
  <si>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</si>
  <si>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</si>
  <si>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</si>
  <si>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</si>
  <si>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</si>
  <si>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</si>
  <si>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</si>
  <si>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</si>
  <si>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</si>
  <si>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</si>
  <si>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</si>
  <si>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</si>
  <si>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</si>
  <si>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</si>
  <si>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</si>
  <si>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</si>
  <si>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</si>
  <si>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</si>
  <si>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</si>
  <si>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</si>
  <si>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</si>
  <si>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</si>
  <si>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</si>
  <si>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</si>
  <si>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</si>
  <si>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</si>
  <si>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</si>
  <si>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</si>
  <si>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</si>
  <si>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</si>
  <si>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</si>
  <si>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</si>
  <si>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</si>
  <si>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</si>
  <si>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</si>
  <si>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</si>
  <si>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</si>
  <si>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</si>
  <si>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</si>
  <si>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</si>
  <si>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</si>
  <si>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</si>
  <si>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</si>
  <si>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</si>
  <si>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</si>
  <si>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</si>
  <si>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</si>
  <si>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</si>
  <si>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</si>
  <si>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</si>
  <si>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</si>
  <si>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</si>
  <si>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</si>
  <si>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</si>
  <si>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</si>
  <si>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</si>
  <si>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</si>
  <si>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</si>
  <si>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</si>
  <si>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</si>
  <si>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</si>
  <si>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</si>
  <si>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</si>
  <si>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</si>
  <si>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</si>
  <si>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</si>
  <si>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</si>
  <si>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</si>
  <si>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</si>
  <si>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</si>
  <si>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</si>
  <si>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</si>
  <si>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</si>
  <si>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</si>
  <si>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</si>
  <si>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</si>
  <si>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</si>
  <si>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</si>
  <si>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</si>
  <si>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</si>
  <si>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</si>
  <si>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</si>
  <si>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</si>
  <si>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</si>
  <si>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</si>
  <si>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</si>
  <si>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</si>
  <si>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</si>
  <si>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</si>
  <si>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</si>
  <si>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</si>
  <si>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</si>
  <si>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</si>
  <si>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</si>
  <si>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</si>
  <si>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</si>
  <si>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</si>
  <si>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</si>
  <si>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</si>
  <si>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</si>
  <si>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</si>
  <si>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</si>
  <si>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</si>
  <si>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</si>
  <si>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</si>
  <si>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</si>
  <si>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</si>
  <si>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</si>
  <si>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</si>
  <si>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</si>
  <si>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</si>
  <si>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</si>
  <si>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</si>
  <si>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</si>
  <si>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</si>
  <si>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</si>
  <si>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</si>
  <si>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</si>
  <si>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</si>
  <si>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</si>
  <si>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</si>
  <si>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</si>
  <si>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</si>
  <si>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</si>
  <si>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</si>
  <si>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</si>
  <si>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</si>
  <si>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</si>
  <si>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</si>
  <si>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</si>
  <si>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</si>
  <si>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</si>
  <si>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</si>
  <si>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</si>
  <si>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</si>
  <si>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</si>
  <si>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</si>
  <si>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</si>
  <si>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</si>
  <si>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</si>
  <si>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</si>
  <si>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</si>
  <si>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</si>
  <si>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</si>
  <si>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</si>
  <si>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</si>
  <si>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</si>
  <si>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</si>
  <si>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</si>
  <si>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</si>
  <si>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</si>
  <si>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</si>
  <si>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</si>
  <si>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</si>
  <si>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</si>
  <si>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</si>
  <si>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</si>
  <si>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</si>
  <si>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</si>
  <si>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</si>
  <si>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</si>
  <si>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</si>
  <si>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</si>
  <si>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</si>
  <si>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</si>
  <si>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</si>
  <si>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</si>
  <si>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</si>
  <si>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</si>
  <si>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</si>
  <si>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</si>
  <si>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</si>
  <si>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</si>
  <si>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</si>
  <si>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</si>
  <si>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</si>
  <si>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</si>
  <si>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</si>
  <si>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</si>
  <si>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</si>
  <si>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</si>
  <si>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</si>
  <si>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</si>
  <si>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</si>
  <si>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</si>
  <si>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</si>
  <si>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</si>
  <si>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</si>
  <si>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</si>
  <si>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</si>
  <si>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</si>
  <si>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</si>
  <si>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</si>
  <si>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</si>
  <si>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</si>
  <si>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</si>
  <si>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</si>
  <si>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</si>
  <si>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</si>
  <si>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</si>
  <si>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</si>
  <si>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</si>
  <si>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</si>
  <si>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</si>
  <si>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</si>
  <si>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</si>
  <si>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</si>
  <si>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</si>
  <si>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</si>
  <si>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</si>
  <si>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</si>
  <si>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</si>
  <si>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</si>
  <si>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</si>
  <si>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</si>
  <si>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</si>
  <si>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</si>
  <si>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</si>
  <si>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</si>
  <si>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</si>
  <si>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</si>
  <si>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</si>
  <si>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</si>
  <si>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</si>
  <si>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</si>
  <si>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</si>
  <si>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</si>
  <si>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</si>
  <si>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</si>
  <si>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</si>
  <si>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</si>
  <si>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</si>
  <si>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</si>
  <si>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</si>
  <si>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</si>
  <si>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</si>
  <si>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</si>
  <si>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</si>
  <si>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</si>
  <si>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</si>
  <si>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</si>
  <si>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</si>
  <si>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</si>
  <si>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</si>
  <si>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</si>
  <si>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</si>
  <si>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</si>
  <si>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</si>
  <si>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</si>
  <si>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</si>
  <si>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</si>
  <si>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</si>
  <si>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</si>
  <si>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</si>
  <si>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</si>
  <si>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</si>
  <si>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</si>
  <si>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</si>
  <si>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</si>
  <si>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</si>
  <si>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</si>
  <si>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</si>
  <si>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</si>
  <si>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</si>
  <si>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</si>
  <si>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</si>
  <si>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</si>
  <si>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</si>
  <si>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</si>
  <si>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</si>
  <si>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</si>
  <si>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</si>
  <si>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</si>
  <si>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</si>
  <si>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</si>
  <si>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</si>
  <si>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</si>
  <si>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</si>
  <si>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</si>
  <si>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</si>
  <si>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</si>
  <si>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</si>
  <si>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</si>
  <si>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</si>
  <si>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</si>
  <si>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</si>
  <si>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</si>
  <si>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</si>
  <si>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</si>
  <si>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</si>
  <si>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</si>
  <si>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</si>
  <si>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</si>
  <si>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</si>
  <si>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</si>
  <si>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</si>
  <si>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</si>
  <si>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</si>
  <si>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</si>
  <si>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</si>
  <si>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</si>
  <si>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</si>
  <si>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</si>
  <si>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</si>
  <si>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</si>
  <si>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</si>
  <si>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</si>
  <si>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</si>
  <si>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</si>
  <si>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</si>
  <si>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</si>
  <si>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</si>
  <si>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</si>
  <si>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</si>
  <si>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</si>
  <si>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</si>
  <si>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</si>
  <si>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</si>
  <si>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</si>
  <si>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</si>
  <si>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</si>
  <si>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</si>
  <si>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</si>
  <si>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</si>
  <si>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</si>
  <si>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</si>
  <si>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</si>
  <si>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</si>
  <si>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</si>
  <si>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</si>
  <si>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</si>
  <si>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</si>
  <si>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</si>
  <si>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</si>
  <si>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</si>
  <si>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</si>
  <si>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</si>
  <si>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</si>
  <si>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</si>
  <si>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</si>
  <si>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</si>
  <si>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</si>
  <si>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</si>
  <si>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</si>
  <si>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</si>
  <si>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</si>
  <si>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</si>
  <si>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</si>
  <si>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</si>
  <si>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</si>
  <si>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</si>
  <si>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</si>
  <si>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</si>
  <si>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</si>
  <si>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</si>
  <si>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</si>
  <si>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</si>
  <si>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</si>
  <si>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</si>
  <si>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</si>
  <si>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</si>
  <si>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</si>
  <si>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</si>
  <si>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</si>
  <si>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</si>
  <si>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</si>
  <si>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</si>
  <si>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</si>
  <si>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</si>
  <si>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</si>
  <si>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</si>
  <si>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</si>
  <si>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</si>
  <si>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</si>
  <si>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</si>
  <si>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</si>
  <si>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</si>
  <si>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</si>
  <si>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</si>
  <si>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</si>
  <si>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</si>
  <si>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</si>
  <si>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</si>
  <si>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</si>
  <si>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</si>
  <si>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</si>
  <si>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</si>
  <si>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</si>
  <si>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</si>
  <si>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</si>
  <si>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</si>
  <si>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</si>
  <si>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</si>
  <si>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</si>
  <si>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</si>
  <si>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</si>
  <si>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</si>
  <si>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</si>
  <si>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</si>
  <si>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</si>
  <si>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</si>
  <si>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</si>
  <si>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</si>
  <si>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</si>
  <si>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</si>
  <si>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</si>
  <si>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</si>
  <si>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</si>
  <si>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</si>
  <si>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</si>
  <si>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</si>
  <si>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</si>
  <si>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</si>
  <si>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</si>
  <si>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</si>
  <si>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</si>
  <si>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</si>
  <si>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</si>
  <si>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</si>
  <si>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</si>
  <si>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</si>
  <si>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</si>
  <si>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</si>
  <si>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</si>
  <si>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</si>
  <si>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</si>
  <si>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</si>
  <si>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</si>
  <si>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</si>
  <si>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</si>
  <si>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</si>
  <si>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</si>
  <si>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</si>
  <si>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</si>
  <si>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</si>
  <si>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</si>
  <si>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</si>
  <si>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</si>
  <si>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</si>
  <si>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</si>
  <si>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</si>
  <si>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</si>
  <si>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</si>
  <si>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</si>
  <si>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</si>
  <si>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</si>
  <si>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</si>
  <si>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</si>
  <si>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</si>
  <si>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</si>
  <si>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</si>
  <si>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</si>
  <si>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</si>
  <si>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</si>
  <si>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</si>
  <si>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</si>
  <si>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</si>
  <si>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</si>
  <si>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</si>
  <si>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</si>
  <si>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</si>
  <si>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</si>
  <si>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</si>
  <si>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</si>
  <si>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</si>
  <si>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</si>
  <si>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</si>
  <si>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</si>
  <si>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</si>
  <si>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</si>
  <si>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</si>
  <si>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</si>
  <si>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</si>
  <si>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</si>
  <si>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</si>
  <si>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</si>
  <si>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</si>
  <si>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</si>
  <si>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</si>
  <si>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</si>
  <si>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</si>
  <si>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</si>
  <si>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</si>
  <si>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</si>
  <si>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</si>
  <si>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</si>
  <si>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</si>
  <si>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</si>
  <si>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</si>
  <si>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</si>
  <si>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</si>
  <si>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</si>
  <si>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</si>
  <si>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</si>
  <si>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</si>
  <si>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</si>
  <si>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</si>
  <si>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</si>
  <si>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</si>
  <si>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</si>
  <si>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</si>
  <si>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</si>
  <si>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</si>
  <si>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</si>
  <si>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</si>
  <si>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</si>
  <si>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</si>
  <si>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</si>
  <si>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</si>
  <si>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</si>
  <si>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</si>
  <si>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</si>
  <si>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</si>
  <si>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</si>
  <si>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</si>
  <si>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</si>
  <si>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</si>
  <si>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</si>
  <si>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</si>
  <si>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</si>
  <si>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</si>
  <si>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</si>
  <si>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</si>
  <si>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</si>
  <si>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</si>
  <si>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</si>
  <si>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</si>
  <si>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</si>
  <si>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</si>
  <si>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</si>
  <si>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</si>
  <si>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</si>
  <si>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</si>
  <si>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</si>
  <si>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</si>
  <si>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</si>
  <si>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</si>
  <si>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</si>
  <si>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</si>
  <si>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</si>
  <si>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</si>
  <si>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</si>
  <si>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</si>
  <si>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</si>
  <si>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</si>
  <si>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</si>
  <si>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</si>
  <si>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</si>
  <si>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</si>
  <si>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</si>
  <si>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</si>
  <si>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</si>
  <si>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</si>
  <si>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</si>
  <si>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</si>
  <si>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</si>
  <si>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</si>
  <si>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</si>
  <si>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</si>
  <si>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</si>
  <si>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</si>
  <si>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</si>
  <si>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</si>
  <si>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</si>
  <si>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</si>
  <si>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</si>
  <si>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</si>
  <si>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</si>
  <si>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</si>
  <si>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</si>
  <si>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</si>
  <si>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</si>
  <si>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</si>
  <si>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</si>
  <si>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</si>
  <si>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</si>
  <si>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</si>
  <si>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</si>
  <si>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</si>
  <si>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</si>
  <si>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</si>
  <si>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</si>
  <si>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</si>
  <si>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</si>
  <si>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</si>
  <si>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</si>
  <si>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</si>
  <si>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</si>
  <si>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</si>
  <si>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</si>
  <si>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</si>
  <si>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</si>
  <si>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</si>
  <si>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</si>
  <si>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</si>
  <si>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</si>
  <si>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</si>
  <si>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</si>
  <si>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</si>
  <si>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</si>
  <si>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</si>
  <si>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</si>
  <si>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</si>
  <si>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</si>
  <si>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</si>
  <si>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</si>
  <si>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</si>
  <si>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</si>
  <si>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</si>
  <si>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</si>
  <si>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</si>
  <si>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</si>
  <si>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</si>
  <si>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</si>
  <si>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</si>
  <si>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</si>
  <si>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</si>
  <si>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</si>
  <si>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</si>
  <si>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</si>
  <si>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</si>
  <si>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</si>
  <si>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</si>
  <si>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</si>
  <si>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</si>
  <si>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</si>
  <si>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</si>
  <si>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</si>
  <si>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</si>
  <si>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</si>
  <si>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</si>
  <si>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</si>
  <si>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</si>
  <si>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</si>
  <si>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</si>
  <si>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</si>
  <si>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</si>
  <si>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</si>
  <si>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</si>
  <si>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</si>
  <si>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</si>
  <si>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</si>
  <si>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</si>
  <si>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</si>
  <si>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</si>
  <si>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</si>
  <si>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</si>
  <si>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</si>
  <si>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</si>
  <si>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</si>
  <si>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</si>
  <si>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</si>
  <si>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</si>
  <si>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</si>
  <si>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</si>
  <si>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</si>
  <si>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</si>
  <si>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</si>
  <si>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</si>
  <si>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</si>
  <si>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</si>
  <si>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</si>
  <si>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</si>
  <si>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</si>
  <si>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</si>
  <si>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</si>
  <si>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</si>
  <si>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</si>
  <si>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</si>
  <si>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</si>
  <si>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</si>
  <si>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</si>
  <si>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</si>
  <si>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</si>
  <si>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</si>
  <si>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</si>
  <si>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</si>
  <si>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</si>
  <si>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</si>
  <si>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</si>
  <si>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</si>
  <si>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</si>
  <si>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</si>
  <si>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</si>
  <si>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</si>
  <si>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</si>
  <si>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</si>
  <si>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</si>
  <si>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</si>
  <si>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</si>
  <si>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</si>
  <si>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</si>
  <si>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</si>
  <si>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</si>
  <si>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</si>
  <si>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</si>
  <si>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</si>
  <si>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</si>
  <si>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</si>
  <si>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</si>
  <si>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</si>
  <si>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</si>
  <si>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</si>
  <si>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</si>
  <si>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</si>
  <si>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</si>
  <si>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</si>
  <si>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</si>
  <si>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</si>
  <si>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</si>
  <si>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</si>
  <si>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</si>
  <si>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</si>
  <si>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</si>
  <si>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</si>
  <si>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</si>
  <si>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</si>
  <si>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</si>
  <si>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</si>
  <si>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</si>
  <si>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</si>
  <si>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</si>
  <si>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</si>
  <si>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</si>
  <si>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</si>
  <si>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</si>
  <si>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</si>
  <si>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</si>
  <si>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</si>
  <si>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</si>
  <si>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</si>
  <si>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</si>
  <si>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</si>
  <si>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</si>
  <si>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</si>
  <si>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</si>
  <si>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</si>
  <si>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</si>
  <si>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</si>
  <si>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</si>
  <si>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</si>
  <si>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</si>
  <si>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</si>
  <si>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</si>
  <si>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</si>
  <si>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</si>
  <si>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</si>
  <si>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</si>
  <si>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</si>
  <si>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</si>
  <si>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</si>
  <si>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</si>
  <si>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</si>
  <si>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</si>
  <si>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</si>
  <si>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</si>
  <si>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</si>
  <si>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</si>
  <si>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</si>
  <si>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</si>
  <si>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</si>
  <si>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</si>
  <si>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</si>
  <si>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</si>
  <si>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</si>
  <si>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</si>
  <si>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</si>
  <si>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</si>
  <si>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</si>
  <si>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</si>
  <si>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</si>
  <si>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</si>
  <si>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</si>
  <si>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</si>
  <si>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</si>
  <si>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</si>
  <si>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</si>
  <si>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</si>
  <si>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</si>
  <si>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</si>
  <si>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</si>
  <si>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</si>
  <si>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</si>
  <si>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</si>
  <si>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</si>
  <si>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</si>
  <si>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</si>
  <si>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</si>
  <si>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</si>
  <si>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</si>
  <si>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</si>
  <si>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</si>
  <si>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</si>
  <si>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</si>
  <si>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</si>
  <si>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</si>
  <si>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</si>
  <si>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</si>
  <si>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</si>
  <si>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</si>
  <si>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</si>
  <si>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</si>
  <si>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</si>
  <si>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</si>
  <si>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</si>
  <si>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</si>
  <si>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</si>
  <si>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</si>
  <si>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</si>
  <si>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</si>
  <si>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</si>
  <si>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</si>
  <si>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</si>
  <si>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</si>
  <si>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</si>
  <si>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</si>
  <si>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</si>
  <si>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</si>
  <si>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</si>
  <si>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</si>
  <si>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</si>
  <si>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</si>
  <si>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</si>
  <si>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</si>
  <si>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</si>
  <si>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</si>
  <si>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</si>
  <si>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</si>
  <si>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</si>
  <si>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</si>
  <si>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</si>
  <si>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</si>
  <si>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</si>
  <si>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</si>
  <si>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</si>
  <si>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</si>
  <si>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</si>
  <si>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</si>
  <si>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</si>
  <si>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</si>
  <si>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</si>
  <si>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</si>
  <si>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</si>
  <si>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</si>
  <si>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</si>
  <si>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</si>
  <si>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</si>
  <si>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</si>
  <si>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</si>
  <si>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</si>
  <si>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</si>
  <si>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</si>
  <si>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</si>
  <si>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</si>
  <si>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</si>
  <si>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</si>
  <si>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</si>
  <si>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</si>
  <si>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</si>
  <si>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</si>
  <si>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</si>
  <si>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</si>
  <si>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</si>
  <si>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</si>
  <si>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</si>
  <si>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</si>
  <si>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</si>
  <si>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</si>
  <si>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</si>
  <si>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</si>
  <si>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</si>
  <si>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</si>
  <si>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</si>
  <si>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</si>
  <si>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</si>
  <si>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</si>
  <si>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</si>
  <si>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</si>
  <si>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</si>
  <si>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</si>
  <si>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</si>
  <si>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</si>
  <si>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</si>
  <si>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</si>
  <si>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</si>
  <si>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</si>
  <si>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</si>
  <si>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</si>
  <si>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</si>
  <si>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</si>
  <si>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</si>
  <si>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</si>
  <si>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</si>
  <si>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</si>
  <si>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</si>
  <si>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</si>
  <si>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</si>
  <si>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</si>
  <si>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</si>
  <si>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</si>
  <si>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</si>
  <si>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</si>
  <si>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</si>
  <si>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</si>
  <si>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</si>
  <si>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</si>
  <si>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</si>
  <si>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</si>
  <si>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</si>
  <si>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</si>
  <si>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</si>
  <si>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</si>
  <si>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</si>
  <si>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</si>
  <si>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</si>
  <si>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</si>
  <si>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</si>
  <si>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</si>
  <si>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</si>
  <si>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</si>
  <si>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</si>
  <si>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</si>
  <si>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</si>
  <si>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</si>
  <si>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</si>
  <si>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</si>
  <si>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</si>
  <si>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</si>
  <si>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</si>
  <si>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</si>
  <si>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</si>
  <si>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</si>
  <si>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</si>
  <si>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</si>
  <si>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</si>
  <si>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</si>
  <si>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</si>
  <si>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</si>
  <si>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</si>
  <si>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</si>
  <si>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</si>
  <si>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</si>
  <si>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</si>
  <si>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</si>
  <si>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</si>
  <si>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</si>
  <si>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</si>
  <si>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</si>
  <si>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</si>
  <si>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</si>
  <si>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</si>
  <si>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</si>
  <si>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</si>
  <si>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</si>
  <si>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</si>
  <si>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</si>
  <si>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</si>
  <si>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</si>
  <si>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</si>
  <si>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</si>
  <si>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</si>
  <si>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</si>
  <si>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</si>
  <si>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</si>
  <si>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</si>
  <si>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</si>
  <si>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</si>
  <si>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</si>
  <si>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</si>
  <si>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</si>
  <si>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</si>
  <si>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</si>
  <si>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</si>
  <si>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</si>
  <si>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</si>
  <si>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</si>
  <si>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</si>
  <si>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</si>
  <si>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</si>
  <si>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</si>
  <si>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</si>
  <si>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</si>
  <si>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</si>
  <si>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</si>
  <si>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</si>
  <si>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</si>
  <si>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</si>
  <si>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</si>
  <si>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</si>
  <si>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</si>
  <si>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</si>
  <si>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</si>
  <si>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</si>
  <si>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</si>
  <si>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</si>
  <si>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</si>
  <si>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</si>
  <si>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</si>
  <si>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</si>
  <si>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</si>
  <si>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</si>
  <si>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</si>
  <si>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</si>
  <si>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</si>
  <si>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</si>
  <si>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</si>
  <si>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</si>
  <si>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</si>
  <si>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</si>
  <si>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</si>
  <si>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</si>
  <si>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</si>
  <si>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</si>
  <si>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</si>
  <si>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</si>
  <si>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</si>
  <si>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</si>
  <si>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</si>
  <si>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</si>
  <si>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</si>
  <si>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</si>
  <si>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</si>
  <si>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</si>
  <si>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</si>
  <si>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</si>
  <si>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</si>
  <si>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</si>
  <si>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</si>
  <si>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</si>
  <si>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</si>
  <si>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</si>
  <si>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</si>
  <si>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</si>
  <si>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</si>
  <si>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</si>
  <si>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</si>
  <si>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</si>
  <si>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</si>
  <si>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</si>
  <si>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</si>
  <si>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</si>
  <si>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</si>
  <si>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</si>
  <si>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</si>
  <si>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</si>
  <si>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</si>
  <si>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</si>
  <si>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</si>
  <si>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</si>
  <si>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</si>
  <si>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</si>
  <si>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</si>
  <si>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</si>
  <si>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</si>
  <si>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</si>
  <si>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</si>
  <si>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</si>
  <si>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</si>
  <si>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</si>
  <si>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</si>
  <si>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</si>
  <si>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</si>
  <si>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</si>
  <si>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</si>
  <si>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</si>
  <si>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</si>
  <si>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</si>
  <si>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</si>
  <si>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</si>
  <si>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</si>
  <si>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</si>
  <si>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</si>
  <si>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</si>
  <si>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</si>
  <si>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</si>
  <si>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</si>
  <si>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</si>
  <si>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</si>
  <si>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</si>
  <si>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</si>
  <si>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</si>
  <si>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</si>
  <si>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</si>
  <si>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</si>
  <si>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</si>
  <si>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</si>
  <si>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</si>
  <si>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</si>
  <si>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</si>
  <si>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</si>
  <si>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</si>
  <si>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</si>
  <si>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</si>
  <si>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</si>
  <si>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</si>
  <si>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</si>
  <si>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</si>
  <si>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</si>
  <si>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</si>
  <si>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</si>
  <si>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</si>
  <si>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</si>
  <si>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</si>
  <si>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</si>
  <si>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</si>
  <si>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</si>
  <si>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</si>
  <si>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</si>
  <si>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</si>
  <si>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</si>
  <si>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</si>
  <si>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</si>
  <si>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</si>
  <si>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</si>
  <si>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</si>
  <si>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</si>
  <si>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</si>
  <si>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</si>
  <si>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</si>
  <si>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</si>
  <si>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</si>
  <si>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</si>
  <si>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</si>
  <si>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</si>
  <si>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</si>
  <si>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</si>
  <si>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</si>
  <si>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</si>
  <si>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</si>
  <si>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</si>
  <si>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</si>
  <si>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</si>
  <si>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</si>
  <si>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</si>
  <si>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</si>
  <si>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</si>
  <si>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</si>
  <si>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</si>
  <si>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</si>
  <si>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</si>
  <si>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</si>
  <si>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</si>
  <si>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</si>
  <si>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</si>
  <si>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</si>
  <si>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</si>
  <si>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</si>
  <si>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</si>
  <si>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</si>
  <si>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</si>
  <si>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</si>
  <si>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</si>
  <si>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</si>
  <si>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</si>
  <si>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</si>
  <si>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</si>
  <si>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</si>
  <si>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</si>
  <si>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</si>
  <si>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</si>
  <si>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</si>
  <si>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</si>
  <si>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</si>
  <si>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</si>
  <si>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</si>
  <si>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</si>
  <si>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</si>
  <si>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</si>
  <si>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</si>
  <si>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</si>
  <si>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</si>
  <si>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</si>
  <si>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</si>
  <si>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</si>
  <si>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</si>
  <si>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</si>
  <si>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</si>
  <si>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</si>
  <si>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</si>
  <si>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</si>
  <si>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</si>
  <si>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</si>
  <si>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</si>
  <si>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</si>
  <si>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</si>
  <si>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</si>
  <si>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</si>
  <si>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</si>
  <si>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</si>
  <si>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</si>
  <si>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</si>
  <si>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</si>
  <si>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</si>
  <si>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</si>
  <si>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</si>
  <si>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</si>
  <si>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</si>
  <si>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</si>
  <si>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</si>
  <si>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</si>
  <si>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</si>
  <si>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</si>
  <si>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</si>
  <si>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</si>
  <si>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</si>
  <si>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</si>
  <si>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</si>
  <si>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</si>
  <si>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</si>
  <si>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</si>
  <si>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</si>
  <si>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</si>
  <si>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</si>
  <si>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</si>
  <si>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</si>
  <si>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</si>
  <si>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</si>
  <si>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</si>
  <si>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</si>
  <si>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</si>
  <si>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</si>
  <si>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</si>
  <si>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</si>
  <si>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</si>
  <si>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</si>
  <si>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</si>
  <si>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</si>
  <si>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</si>
  <si>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</si>
  <si>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</si>
  <si>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</si>
  <si>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</si>
  <si>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</si>
  <si>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</si>
  <si>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</si>
  <si>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</si>
  <si>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</si>
  <si>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</si>
  <si>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</si>
  <si>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</si>
  <si>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</si>
  <si>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</si>
  <si>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</si>
  <si>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</si>
  <si>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</si>
  <si>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</si>
  <si>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</si>
  <si>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</si>
  <si>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</si>
  <si>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</si>
  <si>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</si>
  <si>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</si>
  <si>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</si>
  <si>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</si>
  <si>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</si>
  <si>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</si>
  <si>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</si>
  <si>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</si>
  <si>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</si>
  <si>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</si>
  <si>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</si>
  <si>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</si>
  <si>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</si>
  <si>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</si>
  <si>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</si>
  <si>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</si>
  <si>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</si>
  <si>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</si>
  <si>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</si>
  <si>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</si>
  <si>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</si>
  <si>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</si>
  <si>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</si>
  <si>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</si>
  <si>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</si>
  <si>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</si>
  <si>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</si>
  <si>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</si>
  <si>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</si>
  <si>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</si>
  <si>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</si>
  <si>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</si>
  <si>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</si>
  <si>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</si>
  <si>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</si>
  <si>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</si>
  <si>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</si>
  <si>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</si>
  <si>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</si>
  <si>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</si>
  <si>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</si>
  <si>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</si>
  <si>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</si>
  <si>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</si>
  <si>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</si>
  <si>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</si>
  <si>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</si>
  <si>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</si>
  <si>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</si>
  <si>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</si>
  <si>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</si>
  <si>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</si>
  <si>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</si>
  <si>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</si>
  <si>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</si>
  <si>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</si>
  <si>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</si>
  <si>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</si>
  <si>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</si>
  <si>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</si>
  <si>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</si>
  <si>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</si>
  <si>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</si>
  <si>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</si>
  <si>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</si>
  <si>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</si>
  <si>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</si>
  <si>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</si>
  <si>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</si>
  <si>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</si>
  <si>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</si>
  <si>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</si>
  <si>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</si>
  <si>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</si>
  <si>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</si>
  <si>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</si>
  <si>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</si>
  <si>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</si>
  <si>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</si>
  <si>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</si>
  <si>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</si>
  <si>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</si>
  <si>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</si>
  <si>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</si>
  <si>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</si>
  <si>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</si>
  <si>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</si>
  <si>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</si>
  <si>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</si>
  <si>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</si>
  <si>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</si>
  <si>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</si>
  <si>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</si>
  <si>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</si>
  <si>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</si>
  <si>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</si>
  <si>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</si>
  <si>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</si>
  <si>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</si>
  <si>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</si>
  <si>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</si>
  <si>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</si>
  <si>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</si>
  <si>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</si>
  <si>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</si>
  <si>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</si>
  <si>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</si>
  <si>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</si>
  <si>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</si>
  <si>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</si>
  <si>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</si>
  <si>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</si>
  <si>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</si>
  <si>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</si>
  <si>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</si>
  <si>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</si>
  <si>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</si>
  <si>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</si>
  <si>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</si>
  <si>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</si>
  <si>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</si>
  <si>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</si>
  <si>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</si>
  <si>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</si>
  <si>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</si>
  <si>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</si>
  <si>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</si>
  <si>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</si>
  <si>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</si>
  <si>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</si>
  <si>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</si>
  <si>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</si>
  <si>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</si>
  <si>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</si>
  <si>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</si>
  <si>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</si>
  <si>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</si>
  <si>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</si>
  <si>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</si>
  <si>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</si>
  <si>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</si>
  <si>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</si>
  <si>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</si>
  <si>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</si>
  <si>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</si>
  <si>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</si>
  <si>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</si>
  <si>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</si>
  <si>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</si>
  <si>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</si>
  <si>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</si>
  <si>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</si>
  <si>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</si>
  <si>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</si>
  <si>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</si>
  <si>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</si>
  <si>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</si>
  <si>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</si>
  <si>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</si>
  <si>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</si>
  <si>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</si>
  <si>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</si>
  <si>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</si>
  <si>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</si>
  <si>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</si>
  <si>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</si>
  <si>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</si>
  <si>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</si>
  <si>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</si>
  <si>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</si>
  <si>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</si>
  <si>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</si>
  <si>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</si>
  <si>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</si>
  <si>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</si>
  <si>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</si>
  <si>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</si>
  <si>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</si>
  <si>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</si>
  <si>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</si>
  <si>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</si>
  <si>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</si>
  <si>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</si>
  <si>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</si>
  <si>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</si>
  <si>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</si>
  <si>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</si>
  <si>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</si>
  <si>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</si>
  <si>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</si>
  <si>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</si>
  <si>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</si>
  <si>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</si>
  <si>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</si>
  <si>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</si>
  <si>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</si>
  <si>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</si>
  <si>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</si>
  <si>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</si>
  <si>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</si>
  <si>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</si>
  <si>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</si>
  <si>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</si>
  <si>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</si>
  <si>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</si>
  <si>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</si>
  <si>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</si>
  <si>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</si>
  <si>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</si>
  <si>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</si>
  <si>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</si>
  <si>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</si>
  <si>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</si>
  <si>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</si>
  <si>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</si>
  <si>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</si>
  <si>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</si>
  <si>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</si>
  <si>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</si>
  <si>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</si>
  <si>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</si>
  <si>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</si>
  <si>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</si>
  <si>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</si>
  <si>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</si>
  <si>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</si>
  <si>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</si>
  <si>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</si>
  <si>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</si>
  <si>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</si>
  <si>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</si>
  <si>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</si>
  <si>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</si>
  <si>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</si>
  <si>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</si>
  <si>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</si>
  <si>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</si>
  <si>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</si>
  <si>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</si>
  <si>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</si>
  <si>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</si>
  <si>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</si>
  <si>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</si>
  <si>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</si>
  <si>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</si>
  <si>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</si>
  <si>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</si>
  <si>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</si>
  <si>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</si>
  <si>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</si>
  <si>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</si>
  <si>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</si>
  <si>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</si>
  <si>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</si>
  <si>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</si>
  <si>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</si>
  <si>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</si>
  <si>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</si>
  <si>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</si>
  <si>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</si>
  <si>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</si>
  <si>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</si>
  <si>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</si>
  <si>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</si>
  <si>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</si>
  <si>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</si>
  <si>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</si>
  <si>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</si>
  <si>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</si>
  <si>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</si>
  <si>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</si>
  <si>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</si>
  <si>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</si>
  <si>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</si>
  <si>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</si>
  <si>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</si>
  <si>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</si>
  <si>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</si>
  <si>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</si>
  <si>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</si>
  <si>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</si>
  <si>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</si>
  <si>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</si>
  <si>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</si>
  <si>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</si>
  <si>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</si>
  <si>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</si>
  <si>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</si>
  <si>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</si>
  <si>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</si>
  <si>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</si>
  <si>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</si>
  <si>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</si>
  <si>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</si>
  <si>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</si>
  <si>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</si>
  <si>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</si>
  <si>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</si>
  <si>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</si>
  <si>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</si>
  <si>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</si>
  <si>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</si>
  <si>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</si>
  <si>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</si>
  <si>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</si>
  <si>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</si>
  <si>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</si>
  <si>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</si>
  <si>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</si>
  <si>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</si>
  <si>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</si>
  <si>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</si>
  <si>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</si>
  <si>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</si>
  <si>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</si>
  <si>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</si>
  <si>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</si>
  <si>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</si>
  <si>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</si>
  <si>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</si>
  <si>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</si>
  <si>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</si>
  <si>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</si>
  <si>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</si>
  <si>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</si>
  <si>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</si>
  <si>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</si>
  <si>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</si>
  <si>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</si>
  <si>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</si>
  <si>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</si>
  <si>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</si>
  <si>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</si>
  <si>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</si>
  <si>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</si>
  <si>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</si>
  <si>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</si>
  <si>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</si>
  <si>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</si>
  <si>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</si>
  <si>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</si>
  <si>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</si>
  <si>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</si>
  <si>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</si>
  <si>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</si>
  <si>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</si>
  <si>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</si>
  <si>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</si>
  <si>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</si>
  <si>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</si>
  <si>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</si>
  <si>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</si>
  <si>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</si>
  <si>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</si>
  <si>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</si>
  <si>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</si>
  <si>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</si>
  <si>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</si>
  <si>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</si>
  <si>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</si>
  <si>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</si>
  <si>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</si>
  <si>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</si>
  <si>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</si>
  <si>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</si>
  <si>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</si>
  <si>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</si>
  <si>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</si>
  <si>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</si>
  <si>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</si>
  <si>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</si>
  <si>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</si>
  <si>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</si>
  <si>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</si>
  <si>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</si>
  <si>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</si>
  <si>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</si>
  <si>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</si>
  <si>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</si>
  <si>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</si>
  <si>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</si>
  <si>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</si>
  <si>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</si>
  <si>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</si>
  <si>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</si>
  <si>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</si>
  <si>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</si>
  <si>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</si>
  <si>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</si>
  <si>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</si>
  <si>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</si>
  <si>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</si>
  <si>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</si>
  <si>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</si>
  <si>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</si>
  <si>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</si>
  <si>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</si>
  <si>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</si>
  <si>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</si>
  <si>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</si>
  <si>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</si>
  <si>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</si>
  <si>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</si>
  <si>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</si>
  <si>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</si>
  <si>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</si>
  <si>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</si>
  <si>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</si>
  <si>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</si>
  <si>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</si>
  <si>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</si>
  <si>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</si>
  <si>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</si>
  <si>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</si>
  <si>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</si>
  <si>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</si>
  <si>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</si>
  <si>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</si>
  <si>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</si>
  <si>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</si>
  <si>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</si>
  <si>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</si>
  <si>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</si>
  <si>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</si>
  <si>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</si>
  <si>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</si>
  <si>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</si>
  <si>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</si>
  <si>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</si>
  <si>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</si>
  <si>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</si>
  <si>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</si>
  <si>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</si>
  <si>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</si>
  <si>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</si>
  <si>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</si>
  <si>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</si>
  <si>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</si>
  <si>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</si>
  <si>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</si>
  <si>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</si>
  <si>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</si>
  <si>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</si>
  <si>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</si>
  <si>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</si>
  <si>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</si>
  <si>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</si>
  <si>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</si>
  <si>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</si>
  <si>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</si>
  <si>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</si>
  <si>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</si>
  <si>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</si>
  <si>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</si>
  <si>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</si>
  <si>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</si>
  <si>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</si>
  <si>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</si>
  <si>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</si>
  <si>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</si>
  <si>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</si>
  <si>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</si>
  <si>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</si>
  <si>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</si>
  <si>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</si>
  <si>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</si>
  <si>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</si>
  <si>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</si>
  <si>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</si>
  <si>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</si>
  <si>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</si>
  <si>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</si>
  <si>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</si>
  <si>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</si>
  <si>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</si>
  <si>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</si>
  <si>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</si>
  <si>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</si>
  <si>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</si>
  <si>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</si>
  <si>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</si>
  <si>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</si>
  <si>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</si>
  <si>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</si>
  <si>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</si>
  <si>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</si>
  <si>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</si>
  <si>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</si>
  <si>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</si>
  <si>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</si>
  <si>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</si>
  <si>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</si>
  <si>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</si>
  <si>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</si>
  <si>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</si>
  <si>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</si>
  <si>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</si>
  <si>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</si>
  <si>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</si>
  <si>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</si>
  <si>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</si>
  <si>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</si>
  <si>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</si>
  <si>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</si>
  <si>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</si>
  <si>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</si>
  <si>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</si>
  <si>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</si>
  <si>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</si>
  <si>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</si>
  <si>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</si>
  <si>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</si>
  <si>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</si>
  <si>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</si>
  <si>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</si>
  <si>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</si>
  <si>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</si>
  <si>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</si>
  <si>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</si>
  <si>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</si>
  <si>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</si>
  <si>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</si>
  <si>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</si>
  <si>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</si>
  <si>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</si>
  <si>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</si>
  <si>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</si>
  <si>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</si>
  <si>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</si>
  <si>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</si>
  <si>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</si>
  <si>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</si>
  <si>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</si>
  <si>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</si>
  <si>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</si>
  <si>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</si>
  <si>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</si>
  <si>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</si>
  <si>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</si>
  <si>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</si>
  <si>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</si>
  <si>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</si>
  <si>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</si>
  <si>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</si>
  <si>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</si>
  <si>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</si>
  <si>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</si>
  <si>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</si>
  <si>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</si>
  <si>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</si>
  <si>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</si>
  <si>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</si>
  <si>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</si>
  <si>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</si>
  <si>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</si>
  <si>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</si>
  <si>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</si>
  <si>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</si>
  <si>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</si>
  <si>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</si>
  <si>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</si>
  <si>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</si>
  <si>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</si>
  <si>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</si>
  <si>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</si>
  <si>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</si>
  <si>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</si>
  <si>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</si>
  <si>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</si>
  <si>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</si>
  <si>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</si>
  <si>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</si>
  <si>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</si>
  <si>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</si>
  <si>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</si>
  <si>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</si>
  <si>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</si>
  <si>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</si>
  <si>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</si>
  <si>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</si>
  <si>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</si>
  <si>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</si>
  <si>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</si>
  <si>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</si>
  <si>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</si>
  <si>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</si>
  <si>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</si>
  <si>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</si>
  <si>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</si>
  <si>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</si>
  <si>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</si>
  <si>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</si>
  <si>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</si>
  <si>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</si>
  <si>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</si>
  <si>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</si>
  <si>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</si>
  <si>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</si>
  <si>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</si>
  <si>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</si>
  <si>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</si>
  <si>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</si>
  <si>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</si>
  <si>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</si>
  <si>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</si>
  <si>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</si>
  <si>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</si>
  <si>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</si>
  <si>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</si>
  <si>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</si>
  <si>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</si>
  <si>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</si>
  <si>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</si>
  <si>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</si>
  <si>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</si>
  <si>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</si>
  <si>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</si>
  <si>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</si>
  <si>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</si>
  <si>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</si>
  <si>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</si>
  <si>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</si>
  <si>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</si>
  <si>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</si>
  <si>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</si>
  <si>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</si>
  <si>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</si>
  <si>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</si>
  <si>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</si>
  <si>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</si>
  <si>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</si>
  <si>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</si>
  <si>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</si>
  <si>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</si>
  <si>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</si>
  <si>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</si>
  <si>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</si>
  <si>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</si>
  <si>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</si>
  <si>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</si>
  <si>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</si>
  <si>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</si>
  <si>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</si>
  <si>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</si>
  <si>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</si>
  <si>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</si>
  <si>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</si>
  <si>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</si>
  <si>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</si>
  <si>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</si>
  <si>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</si>
  <si>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</si>
  <si>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</si>
  <si>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</si>
  <si>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</si>
  <si>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</si>
  <si>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</si>
  <si>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</si>
  <si>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</si>
  <si>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</si>
  <si>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</si>
  <si>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</si>
  <si>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</si>
  <si>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</si>
  <si>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</si>
  <si>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</si>
  <si>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</si>
  <si>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</si>
  <si>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</si>
  <si>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</si>
  <si>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</si>
  <si>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</si>
  <si>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</si>
  <si>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</si>
  <si>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</si>
  <si>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</si>
  <si>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</si>
  <si>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</si>
  <si>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</si>
  <si>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</si>
  <si>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</si>
  <si>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</si>
  <si>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</si>
  <si>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</si>
  <si>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</si>
  <si>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</si>
  <si>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</si>
  <si>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</si>
  <si>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</si>
  <si>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</si>
  <si>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</si>
  <si>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</si>
  <si>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</si>
  <si>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</si>
  <si>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</si>
  <si>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</si>
  <si>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</si>
  <si>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</si>
  <si>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</si>
  <si>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</si>
  <si>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</si>
  <si>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</si>
  <si>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</si>
  <si>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</si>
  <si>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</si>
  <si>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</si>
  <si>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</si>
  <si>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</si>
  <si>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</si>
  <si>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</si>
  <si>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</si>
  <si>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</si>
  <si>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</si>
  <si>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</si>
  <si>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</si>
  <si>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</si>
  <si>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</si>
  <si>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</si>
  <si>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</si>
  <si>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</si>
  <si>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</si>
  <si>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</si>
  <si>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</si>
  <si>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</si>
  <si>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</si>
  <si>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</si>
  <si>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</si>
  <si>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</si>
  <si>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</si>
  <si>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</si>
  <si>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</si>
  <si>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</si>
  <si>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</si>
  <si>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</si>
  <si>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</si>
  <si>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</si>
  <si>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</si>
  <si>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</si>
  <si>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</si>
  <si>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</si>
  <si>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</si>
  <si>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</si>
  <si>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</si>
  <si>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</si>
  <si>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</si>
  <si>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</si>
  <si>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</si>
  <si>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</si>
  <si>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</si>
  <si>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</si>
  <si>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</si>
  <si>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</si>
  <si>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</si>
  <si>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</si>
  <si>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</si>
  <si>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</si>
  <si>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</si>
  <si>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</si>
  <si>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</si>
  <si>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</si>
  <si>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</si>
  <si>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</si>
  <si>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</si>
  <si>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</si>
  <si>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</si>
  <si>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</si>
  <si>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</si>
  <si>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</si>
  <si>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</si>
  <si>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</si>
  <si>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</si>
  <si>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</si>
  <si>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</si>
  <si>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</si>
  <si>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</si>
  <si>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</si>
  <si>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</si>
  <si>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</si>
  <si>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</si>
  <si>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</si>
  <si>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</si>
  <si>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</si>
  <si>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</si>
  <si>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</si>
  <si>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</si>
  <si>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</si>
  <si>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</si>
  <si>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</si>
  <si>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</si>
  <si>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</si>
  <si>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</si>
  <si>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</si>
  <si>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</si>
  <si>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</si>
  <si>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</si>
  <si>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</si>
  <si>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</si>
  <si>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</si>
  <si>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</si>
  <si>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</si>
  <si>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</si>
  <si>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</si>
  <si>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</si>
  <si>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</si>
  <si>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</si>
  <si>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</si>
  <si>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</si>
  <si>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</si>
  <si>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</si>
  <si>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</si>
  <si>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</si>
  <si>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</si>
  <si>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</si>
  <si>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</si>
  <si>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</si>
  <si>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</si>
  <si>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</si>
  <si>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</si>
  <si>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</si>
  <si>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</si>
  <si>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</si>
  <si>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</si>
  <si>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</si>
  <si>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</si>
  <si>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</si>
  <si>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</si>
  <si>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</si>
  <si>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</si>
  <si>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</si>
  <si>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</si>
  <si>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</si>
  <si>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</si>
  <si>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</si>
  <si>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</si>
  <si>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</si>
  <si>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</si>
  <si>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</si>
  <si>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</si>
  <si>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</si>
  <si>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</si>
  <si>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</si>
  <si>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</si>
  <si>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</si>
  <si>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</si>
  <si>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</si>
  <si>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</si>
  <si>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</si>
  <si>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</si>
  <si>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</si>
  <si>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</si>
  <si>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</si>
  <si>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</si>
  <si>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</si>
  <si>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</si>
  <si>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</si>
  <si>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</si>
  <si>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</si>
  <si>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</si>
  <si>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</si>
  <si>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</si>
  <si>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</si>
  <si>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</si>
  <si>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</si>
  <si>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</si>
  <si>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</si>
  <si>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</si>
  <si>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</si>
  <si>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</si>
  <si>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</si>
  <si>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</si>
  <si>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</si>
  <si>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</si>
  <si>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</si>
  <si>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</si>
  <si>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</si>
  <si>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</si>
  <si>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</si>
  <si>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</si>
  <si>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</si>
  <si>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</si>
  <si>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</si>
  <si>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</si>
  <si>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</si>
  <si>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</si>
  <si>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</si>
  <si>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</si>
  <si>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</si>
  <si>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</si>
  <si>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</si>
  <si>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</si>
  <si>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</si>
  <si>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</si>
  <si>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</si>
  <si>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</si>
  <si>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</si>
  <si>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</si>
  <si>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</si>
  <si>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</si>
  <si>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</si>
  <si>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</si>
  <si>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</si>
  <si>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</si>
  <si>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</si>
  <si>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</si>
  <si>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</si>
  <si>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</si>
  <si>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</si>
  <si>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</si>
  <si>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</si>
  <si>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</si>
  <si>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</si>
  <si>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</si>
  <si>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</si>
  <si>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</si>
  <si>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</si>
  <si>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</si>
  <si>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</si>
  <si>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</si>
  <si>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</si>
  <si>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</si>
  <si>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</si>
  <si>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</si>
  <si>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</si>
  <si>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</si>
  <si>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</si>
  <si>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</si>
  <si>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</si>
  <si>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</si>
  <si>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</si>
  <si>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</si>
  <si>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</si>
  <si>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</si>
  <si>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</si>
  <si>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</si>
  <si>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</si>
  <si>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</si>
  <si>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</si>
  <si>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</si>
  <si>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</si>
  <si>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</si>
  <si>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</si>
  <si>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</si>
  <si>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</si>
  <si>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</si>
  <si>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</si>
  <si>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</si>
  <si>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</si>
  <si>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</si>
  <si>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</si>
  <si>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</si>
  <si>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</si>
  <si>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</si>
  <si>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</si>
  <si>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</si>
  <si>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</si>
  <si>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</si>
  <si>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</si>
  <si>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</si>
  <si>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</si>
  <si>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</si>
  <si>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</si>
  <si>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</si>
  <si>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</si>
  <si>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</si>
  <si>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</si>
  <si>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</si>
  <si>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</si>
  <si>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</si>
  <si>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</si>
  <si>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</si>
  <si>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</si>
  <si>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</si>
  <si>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</si>
  <si>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</si>
  <si>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</si>
  <si>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</si>
  <si>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</si>
  <si>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</si>
  <si>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</si>
  <si>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</si>
  <si>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</si>
  <si>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</si>
  <si>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</si>
  <si>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</si>
  <si>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</si>
  <si>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</si>
  <si>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</si>
  <si>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</si>
  <si>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</si>
  <si>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</si>
  <si>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</si>
  <si>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</si>
  <si>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</si>
  <si>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</si>
  <si>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</si>
  <si>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</si>
  <si>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</si>
  <si>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</si>
  <si>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</si>
  <si>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</si>
  <si>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</si>
  <si>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</si>
  <si>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</si>
  <si>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</si>
  <si>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</si>
  <si>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</si>
  <si>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</si>
  <si>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</si>
  <si>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</si>
  <si>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</si>
  <si>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</si>
  <si>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</si>
  <si>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</si>
  <si>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</si>
  <si>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</si>
  <si>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</si>
  <si>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</si>
  <si>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</si>
  <si>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</si>
  <si>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</si>
  <si>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</si>
  <si>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</si>
  <si>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</si>
  <si>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</si>
  <si>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</si>
  <si>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</si>
  <si>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</si>
  <si>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</si>
  <si>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</si>
  <si>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</si>
  <si>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</si>
  <si>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</si>
  <si>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</si>
  <si>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</si>
  <si>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</si>
  <si>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</si>
  <si>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</si>
  <si>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</si>
  <si>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</si>
  <si>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</si>
  <si>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</si>
  <si>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</si>
  <si>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</si>
  <si>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</si>
  <si>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</si>
  <si>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</si>
  <si>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</si>
  <si>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</si>
  <si>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</si>
  <si>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</si>
  <si>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</si>
  <si>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</si>
  <si>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</si>
  <si>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</si>
  <si>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</si>
  <si>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</si>
  <si>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</si>
  <si>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</si>
  <si>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</si>
  <si>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</si>
  <si>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</si>
  <si>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</si>
  <si>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</si>
  <si>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</si>
  <si>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</si>
  <si>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</si>
  <si>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</si>
  <si>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</si>
  <si>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</si>
  <si>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</si>
  <si>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</si>
  <si>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</si>
  <si>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</si>
  <si>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</si>
  <si>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</si>
  <si>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</si>
  <si>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</si>
  <si>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</si>
  <si>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</si>
  <si>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</si>
  <si>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</si>
  <si>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</si>
  <si>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</si>
  <si>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</si>
  <si>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</si>
  <si>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</si>
  <si>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</si>
  <si>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</si>
  <si>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</si>
  <si>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</si>
  <si>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</si>
  <si>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</si>
  <si>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</si>
  <si>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</si>
  <si>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</si>
  <si>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</si>
  <si>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</si>
  <si>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</si>
  <si>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</si>
  <si>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</si>
  <si>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</si>
  <si>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</si>
  <si>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</si>
  <si>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</si>
  <si>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</si>
  <si>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</si>
  <si>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</si>
  <si>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</si>
  <si>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</si>
  <si>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</si>
  <si>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</si>
  <si>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</si>
  <si>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</si>
  <si>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</si>
  <si>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</si>
  <si>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</si>
  <si>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</si>
  <si>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</si>
  <si>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</si>
  <si>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</si>
  <si>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</si>
  <si>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</si>
  <si>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</si>
  <si>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</si>
  <si>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</si>
  <si>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</si>
  <si>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</si>
  <si>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</si>
  <si>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</si>
  <si>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</si>
  <si>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</si>
  <si>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</si>
  <si>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</si>
  <si>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</si>
  <si>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</si>
  <si>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</si>
  <si>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</si>
  <si>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</si>
  <si>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</si>
  <si>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</si>
  <si>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</si>
  <si>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</si>
  <si>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</si>
  <si>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</si>
  <si>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</si>
  <si>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</si>
  <si>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</si>
  <si>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</si>
  <si>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</si>
  <si>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</si>
  <si>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</si>
  <si>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</si>
  <si>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</si>
  <si>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</si>
  <si>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</si>
  <si>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</si>
  <si>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</si>
  <si>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</si>
  <si>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</si>
  <si>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</si>
  <si>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</si>
  <si>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</si>
  <si>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</si>
  <si>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</si>
  <si>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</si>
  <si>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</si>
  <si>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</si>
  <si>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</si>
  <si>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</si>
  <si>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</si>
  <si>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</si>
  <si>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</si>
  <si>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</si>
  <si>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</si>
  <si>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</si>
  <si>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</si>
  <si>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</si>
  <si>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</si>
  <si>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</si>
  <si>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</si>
  <si>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</si>
  <si>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</si>
  <si>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</si>
  <si>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</si>
  <si>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</si>
  <si>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</si>
  <si>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</si>
  <si>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</si>
  <si>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</si>
  <si>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</si>
  <si>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</si>
  <si>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</si>
  <si>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</si>
  <si>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</si>
  <si>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</si>
  <si>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</si>
  <si>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</si>
  <si>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</si>
  <si>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</si>
  <si>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</si>
  <si>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</si>
  <si>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</si>
  <si>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</si>
  <si>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</si>
  <si>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</si>
  <si>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</si>
  <si>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</si>
  <si>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</si>
  <si>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</si>
  <si>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</si>
  <si>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</si>
  <si>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</si>
  <si>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</si>
  <si>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</si>
  <si>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</si>
  <si>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</si>
  <si>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</si>
  <si>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</si>
  <si>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</si>
  <si>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</si>
  <si>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</si>
  <si>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</si>
  <si>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</si>
  <si>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</si>
  <si>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</si>
  <si>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</si>
  <si>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</si>
  <si>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</si>
  <si>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</si>
  <si>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</si>
  <si>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</si>
  <si>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</si>
  <si>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</si>
  <si>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</si>
  <si>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</si>
  <si>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</si>
  <si>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</si>
  <si>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</si>
  <si>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</si>
  <si>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</si>
  <si>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</si>
  <si>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</si>
  <si>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</si>
  <si>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</si>
  <si>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</si>
  <si>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</si>
  <si>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</si>
  <si>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</si>
  <si>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</si>
  <si>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</si>
  <si>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</si>
  <si>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</si>
  <si>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</si>
  <si>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</si>
  <si>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</si>
  <si>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</si>
  <si>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</si>
  <si>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</si>
  <si>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</si>
  <si>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</si>
  <si>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</si>
  <si>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</si>
  <si>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</si>
  <si>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</si>
  <si>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</si>
  <si>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</si>
  <si>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</si>
  <si>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</si>
  <si>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</si>
  <si>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</si>
  <si>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</si>
  <si>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</si>
  <si>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</si>
  <si>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</si>
  <si>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</si>
  <si>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</si>
  <si>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</si>
  <si>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</si>
  <si>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</si>
  <si>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</si>
  <si>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</si>
  <si>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</si>
  <si>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</si>
  <si>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</si>
  <si>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</si>
  <si>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</si>
  <si>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</si>
  <si>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</si>
  <si>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</si>
  <si>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</si>
  <si>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</si>
  <si>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</si>
  <si>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</si>
  <si>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</si>
  <si>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</si>
  <si>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</si>
  <si>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</si>
  <si>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</si>
  <si>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</si>
  <si>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</si>
  <si>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</si>
  <si>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</si>
  <si>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</si>
  <si>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</si>
  <si>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</si>
  <si>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</si>
  <si>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</si>
  <si>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</si>
  <si>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</si>
  <si>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</si>
  <si>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</si>
  <si>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</si>
  <si>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</si>
  <si>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</si>
  <si>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</si>
  <si>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</si>
  <si>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</si>
  <si>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</si>
  <si>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</si>
  <si>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</si>
  <si>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</si>
  <si>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</si>
  <si>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</si>
  <si>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</si>
  <si>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</si>
  <si>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</si>
  <si>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</si>
  <si>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</si>
  <si>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</si>
  <si>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</si>
  <si>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</si>
  <si>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</si>
  <si>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</si>
  <si>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</si>
  <si>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</si>
  <si>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</si>
  <si>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</si>
  <si>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</si>
  <si>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</si>
  <si>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</si>
  <si>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</si>
  <si>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</si>
  <si>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</si>
  <si>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</si>
  <si>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</si>
  <si>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</si>
  <si>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</si>
  <si>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</si>
  <si>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</si>
  <si>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</si>
  <si>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</si>
  <si>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</si>
  <si>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</si>
  <si>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</si>
  <si>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</si>
  <si>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</si>
  <si>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</si>
  <si>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</si>
  <si>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</si>
  <si>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</si>
  <si>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</si>
  <si>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</si>
  <si>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</si>
  <si>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</si>
  <si>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</si>
  <si>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</si>
  <si>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</si>
  <si>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</si>
  <si>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</si>
  <si>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</si>
  <si>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</si>
  <si>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</si>
  <si>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</si>
  <si>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</si>
  <si>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</si>
  <si>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</si>
  <si>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</si>
  <si>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</si>
  <si>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</si>
  <si>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</si>
  <si>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</si>
  <si>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</si>
  <si>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</si>
  <si>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</si>
  <si>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</si>
  <si>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</si>
  <si>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</si>
  <si>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</si>
  <si>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</si>
  <si>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</si>
  <si>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</si>
  <si>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</si>
  <si>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</si>
  <si>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</si>
  <si>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</si>
  <si>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</si>
  <si>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</si>
  <si>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</si>
  <si>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</si>
  <si>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</si>
  <si>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</si>
  <si>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</si>
  <si>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</si>
  <si>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</si>
  <si>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</si>
  <si>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</si>
  <si>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</si>
  <si>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</si>
  <si>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</si>
  <si>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</si>
  <si>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</si>
  <si>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</si>
  <si>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</si>
  <si>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</si>
  <si>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</si>
  <si>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</si>
  <si>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</si>
  <si>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</si>
  <si>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</si>
  <si>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</si>
  <si>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</si>
  <si>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</si>
  <si>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</si>
  <si>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</si>
  <si>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</si>
  <si>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</si>
  <si>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</si>
  <si>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</si>
  <si>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</si>
  <si>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</si>
  <si>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</si>
  <si>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</si>
  <si>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</si>
  <si>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</si>
  <si>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</si>
  <si>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</si>
  <si>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</si>
  <si>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</si>
  <si>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</si>
  <si>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</si>
  <si>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</si>
  <si>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</si>
  <si>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</si>
  <si>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</si>
  <si>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</si>
  <si>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</si>
  <si>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</si>
  <si>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</si>
  <si>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</si>
  <si>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</si>
  <si>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</si>
  <si>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</si>
  <si>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</si>
  <si>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</si>
  <si>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</si>
  <si>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</si>
  <si>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</si>
  <si>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</si>
  <si>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</si>
  <si>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</si>
  <si>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</si>
  <si>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</si>
  <si>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</si>
  <si>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</si>
  <si>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</si>
  <si>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</si>
  <si>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</si>
  <si>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</si>
  <si>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</si>
  <si>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</si>
  <si>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</si>
  <si>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</si>
  <si>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</si>
  <si>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</si>
  <si>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</si>
  <si>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</si>
  <si>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</si>
  <si>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</si>
  <si>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</si>
  <si>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</si>
  <si>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</si>
  <si>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</si>
  <si>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</si>
  <si>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</si>
  <si>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</si>
  <si>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</si>
  <si>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</si>
  <si>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</si>
  <si>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</si>
  <si>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</si>
  <si>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</si>
  <si>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</si>
  <si>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</si>
  <si>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</si>
  <si>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</si>
  <si>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</si>
  <si>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</si>
  <si>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</si>
  <si>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</si>
  <si>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</si>
  <si>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</si>
  <si>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</si>
  <si>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</si>
  <si>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</si>
  <si>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</si>
  <si>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</si>
  <si>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</si>
  <si>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</si>
  <si>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</si>
  <si>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</si>
  <si>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</si>
  <si>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</si>
  <si>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</si>
  <si>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</si>
  <si>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</si>
  <si>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</si>
  <si>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</si>
  <si>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</si>
  <si>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</si>
  <si>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</si>
  <si>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</si>
  <si>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</si>
  <si>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</si>
  <si>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</si>
  <si>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</si>
  <si>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</si>
  <si>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</si>
  <si>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</si>
  <si>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</si>
  <si>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</si>
  <si>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</si>
  <si>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</si>
  <si>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</si>
  <si>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</si>
  <si>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</si>
  <si>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</si>
  <si>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</si>
  <si>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</si>
  <si>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</si>
  <si>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</si>
  <si>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</si>
  <si>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</si>
  <si>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</si>
  <si>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</si>
  <si>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</si>
  <si>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</si>
  <si>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</si>
  <si>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</si>
  <si>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</si>
  <si>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</si>
  <si>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</si>
  <si>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</si>
  <si>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</si>
  <si>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</si>
  <si>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</si>
  <si>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</si>
  <si>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</si>
  <si>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</si>
  <si>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</si>
  <si>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</si>
  <si>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</si>
  <si>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</si>
  <si>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</si>
  <si>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</si>
  <si>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</si>
  <si>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</si>
  <si>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</si>
  <si>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</si>
  <si>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</si>
  <si>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</si>
  <si>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</si>
  <si>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</si>
  <si>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</si>
  <si>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</si>
  <si>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</si>
  <si>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</si>
  <si>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</si>
  <si>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</si>
  <si>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</si>
  <si>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</si>
  <si>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</si>
  <si>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</si>
  <si>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</si>
  <si>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</si>
  <si>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</si>
  <si>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</si>
  <si>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</si>
  <si>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</si>
  <si>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</si>
  <si>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</si>
  <si>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</si>
  <si>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</si>
  <si>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</si>
  <si>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</si>
  <si>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</si>
  <si>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</si>
  <si>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</si>
  <si>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</si>
  <si>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</si>
  <si>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</si>
  <si>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</si>
  <si>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</si>
  <si>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</si>
  <si>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</si>
  <si>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</si>
  <si>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</si>
  <si>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</si>
  <si>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</si>
  <si>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</si>
  <si>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</si>
  <si>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</si>
  <si>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</si>
  <si>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</si>
  <si>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</si>
  <si>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</si>
  <si>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</si>
  <si>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</si>
  <si>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</si>
  <si>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</si>
  <si>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</si>
  <si>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</si>
  <si>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</si>
  <si>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</si>
  <si>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</si>
  <si>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</si>
  <si>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</si>
  <si>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</si>
  <si>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</si>
  <si>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</si>
  <si>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</si>
  <si>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</si>
  <si>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</si>
  <si>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</si>
  <si>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</si>
  <si>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</si>
  <si>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</si>
  <si>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</si>
  <si>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</si>
  <si>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</si>
  <si>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</si>
  <si>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</si>
  <si>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</si>
  <si>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</si>
  <si>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</si>
  <si>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</si>
  <si>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</si>
  <si>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</si>
  <si>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</si>
  <si>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</si>
  <si>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</si>
  <si>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</si>
  <si>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</si>
  <si>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</si>
  <si>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</si>
  <si>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</si>
  <si>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</si>
  <si>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</si>
  <si>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</si>
  <si>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</si>
  <si>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</si>
  <si>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</si>
  <si>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</si>
  <si>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</si>
  <si>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</si>
  <si>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</si>
  <si>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</si>
  <si>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</si>
  <si>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</si>
  <si>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</si>
  <si>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</si>
  <si>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</si>
  <si>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</si>
  <si>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</si>
  <si>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</si>
  <si>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</si>
  <si>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</si>
  <si>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</si>
  <si>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</si>
  <si>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</si>
  <si>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</si>
  <si>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</si>
  <si>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</si>
  <si>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</si>
  <si>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</si>
  <si>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</si>
  <si>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</si>
  <si>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</si>
  <si>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</si>
  <si>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</si>
  <si>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</si>
  <si>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</si>
  <si>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</si>
  <si>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</si>
  <si>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</si>
  <si>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</si>
  <si>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</si>
  <si>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</si>
  <si>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</si>
  <si>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</si>
  <si>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</si>
  <si>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</si>
  <si>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</si>
  <si>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</si>
  <si>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</si>
  <si>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</si>
  <si>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</si>
  <si>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</si>
  <si>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</si>
  <si>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</si>
  <si>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</si>
  <si>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</si>
  <si>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</si>
  <si>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</si>
  <si>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</si>
  <si>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</si>
  <si>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</si>
  <si>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</si>
  <si>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</si>
  <si>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</si>
  <si>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</si>
  <si>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</si>
  <si>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</si>
  <si>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</si>
  <si>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</si>
  <si>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</si>
  <si>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</si>
  <si>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</si>
  <si>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</si>
  <si>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</si>
  <si>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</si>
  <si>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</si>
  <si>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</si>
  <si>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</si>
  <si>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</si>
  <si>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</si>
  <si>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</si>
  <si>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</si>
  <si>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</si>
  <si>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</si>
  <si>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</si>
  <si>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</si>
  <si>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</si>
  <si>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</si>
  <si>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</si>
  <si>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</si>
  <si>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</si>
  <si>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</si>
  <si>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</si>
  <si>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</si>
  <si>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</si>
  <si>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</si>
  <si>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</si>
  <si>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</si>
  <si>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</si>
  <si>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</si>
  <si>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</si>
  <si>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</si>
  <si>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</si>
  <si>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</si>
  <si>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</si>
  <si>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</si>
  <si>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</si>
  <si>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</si>
  <si>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</si>
  <si>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</si>
  <si>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</si>
  <si>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</si>
  <si>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</si>
  <si>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</si>
  <si>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</si>
  <si>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</si>
  <si>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</si>
  <si>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</si>
  <si>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</si>
  <si>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</si>
  <si>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</si>
  <si>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</si>
  <si>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</si>
  <si>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</si>
  <si>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</si>
  <si>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</si>
  <si>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</si>
  <si>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</si>
  <si>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</si>
  <si>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</si>
  <si>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</si>
  <si>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</si>
  <si>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</si>
  <si>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</si>
  <si>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</si>
  <si>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</si>
  <si>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</si>
  <si>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</si>
  <si>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</si>
  <si>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</si>
  <si>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</si>
  <si>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</si>
  <si>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</si>
  <si>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</si>
  <si>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</si>
  <si>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</si>
  <si>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</si>
  <si>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</si>
  <si>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</si>
  <si>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</si>
  <si>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</si>
  <si>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</si>
  <si>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</si>
  <si>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</si>
  <si>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</si>
  <si>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</si>
  <si>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</si>
  <si>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</si>
  <si>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</si>
  <si>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</si>
  <si>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</si>
  <si>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</si>
  <si>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</si>
  <si>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</si>
  <si>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</si>
  <si>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</si>
  <si>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</si>
  <si>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</si>
  <si>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</si>
  <si>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</si>
  <si>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</si>
  <si>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</si>
  <si>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</si>
  <si>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</si>
  <si>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</si>
  <si>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</si>
  <si>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</si>
  <si>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</si>
  <si>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</si>
  <si>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</si>
  <si>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</si>
  <si>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</si>
  <si>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</si>
  <si>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</si>
  <si>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</si>
  <si>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</si>
  <si>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</si>
  <si>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</si>
  <si>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</si>
  <si>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</si>
  <si>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</si>
  <si>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</si>
  <si>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</si>
  <si>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</si>
  <si>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</si>
  <si>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</si>
  <si>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</si>
  <si>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</si>
  <si>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</si>
  <si>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</si>
  <si>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</si>
  <si>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</si>
  <si>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</si>
  <si>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</si>
  <si>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</si>
  <si>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</si>
  <si>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</si>
  <si>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</si>
  <si>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</si>
  <si>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</si>
  <si>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</si>
  <si>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</si>
  <si>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</si>
  <si>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</si>
  <si>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</si>
  <si>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</si>
  <si>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</si>
  <si>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</si>
  <si>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</si>
  <si>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</si>
  <si>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</si>
  <si>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</si>
  <si>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</si>
  <si>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</si>
  <si>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</si>
  <si>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</si>
  <si>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</si>
  <si>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</si>
  <si>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</si>
  <si>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</si>
  <si>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</si>
  <si>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</si>
  <si>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</si>
  <si>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</si>
  <si>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</si>
  <si>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</si>
  <si>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</si>
  <si>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</si>
  <si>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</si>
  <si>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</si>
  <si>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</si>
  <si>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</si>
  <si>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</si>
  <si>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</si>
  <si>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</si>
  <si>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</si>
  <si>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</si>
  <si>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</si>
  <si>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</si>
  <si>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</si>
  <si>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</si>
  <si>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</si>
  <si>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</si>
  <si>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</si>
  <si>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</si>
  <si>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</si>
  <si>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</si>
  <si>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</si>
  <si>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</si>
  <si>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</si>
  <si>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</si>
  <si>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</si>
  <si>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</si>
  <si>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</si>
  <si>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</si>
  <si>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</si>
  <si>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</si>
  <si>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</si>
  <si>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</si>
  <si>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</si>
  <si>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</si>
  <si>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</si>
  <si>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</si>
  <si>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</si>
  <si>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</si>
  <si>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</si>
  <si>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</si>
  <si>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</si>
  <si>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</si>
  <si>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</si>
  <si>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</si>
  <si>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</si>
  <si>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</si>
  <si>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</si>
  <si>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</si>
  <si>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</si>
  <si>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</si>
  <si>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</si>
  <si>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</si>
  <si>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</si>
  <si>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</si>
  <si>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</si>
  <si>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</si>
  <si>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</si>
  <si>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</si>
  <si>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</si>
  <si>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</si>
  <si>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</si>
  <si>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</si>
  <si>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</si>
  <si>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</si>
  <si>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</si>
  <si>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</si>
  <si>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</si>
  <si>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</si>
  <si>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</si>
  <si>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</si>
  <si>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</si>
  <si>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</si>
  <si>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</si>
  <si>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</si>
  <si>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</si>
  <si>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</si>
  <si>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</si>
  <si>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</si>
  <si>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</si>
  <si>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</si>
  <si>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</si>
  <si>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</si>
  <si>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</si>
  <si>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</si>
  <si>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</si>
  <si>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</si>
  <si>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</si>
  <si>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</si>
  <si>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</si>
  <si>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</si>
  <si>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</si>
  <si>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</si>
  <si>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</si>
  <si>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</si>
  <si>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</si>
  <si>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</si>
  <si>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</si>
  <si>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</si>
  <si>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</si>
  <si>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</si>
  <si>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</si>
  <si>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</si>
  <si>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</si>
  <si>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</si>
  <si>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</si>
  <si>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</si>
  <si>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</si>
  <si>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</si>
  <si>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</si>
  <si>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</si>
  <si>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</si>
  <si>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</si>
  <si>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</si>
  <si>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</si>
  <si>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</si>
  <si>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</si>
  <si>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</si>
  <si>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</si>
  <si>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</si>
  <si>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</si>
  <si>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</si>
  <si>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</si>
  <si>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</si>
  <si>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</si>
  <si>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</si>
  <si>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</si>
  <si>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</si>
  <si>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</si>
  <si>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</si>
  <si>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</si>
  <si>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</si>
  <si>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</si>
  <si>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</si>
  <si>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</si>
  <si>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</si>
  <si>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</si>
  <si>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</si>
  <si>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</si>
  <si>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</si>
  <si>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</si>
  <si>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</si>
  <si>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</si>
  <si>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</si>
  <si>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</si>
  <si>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</si>
  <si>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</si>
  <si>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</si>
  <si>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</si>
  <si>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</si>
  <si>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</si>
  <si>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</si>
  <si>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</si>
  <si>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</si>
  <si>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</si>
  <si>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</si>
  <si>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</si>
  <si>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</si>
  <si>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</si>
  <si>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</si>
  <si>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</si>
  <si>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</si>
  <si>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</si>
  <si>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</si>
  <si>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</si>
  <si>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</si>
  <si>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</si>
  <si>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</si>
  <si>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</si>
  <si>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</si>
  <si>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</si>
  <si>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</si>
  <si>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</si>
  <si>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</si>
  <si>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</si>
  <si>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</si>
  <si>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</si>
  <si>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</si>
  <si>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</si>
  <si>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</si>
  <si>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</si>
  <si>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</si>
  <si>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</si>
  <si>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</si>
  <si>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</si>
  <si>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</si>
  <si>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</si>
  <si>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</si>
  <si>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</si>
  <si>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</si>
  <si>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</si>
  <si>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</si>
  <si>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</si>
  <si>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</si>
  <si>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</si>
  <si>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</si>
  <si>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</si>
  <si>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</si>
  <si>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</si>
  <si>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</si>
  <si>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</si>
  <si>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</si>
  <si>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</si>
  <si>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</si>
  <si>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</si>
  <si>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</si>
  <si>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</si>
  <si>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</si>
  <si>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</si>
  <si>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</si>
  <si>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</si>
  <si>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</si>
  <si>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</si>
  <si>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</si>
  <si>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</si>
  <si>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</si>
  <si>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</si>
  <si>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</si>
  <si>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</si>
  <si>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</si>
  <si>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</si>
  <si>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</si>
  <si>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</si>
  <si>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</si>
  <si>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</si>
  <si>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</si>
  <si>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</si>
  <si>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</si>
  <si>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</si>
  <si>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</si>
  <si>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</si>
  <si>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</si>
  <si>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</si>
  <si>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</si>
  <si>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</si>
  <si>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</si>
  <si>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</si>
  <si>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</si>
  <si>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</si>
  <si>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</si>
  <si>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</si>
  <si>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</si>
  <si>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</si>
  <si>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</si>
  <si>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</si>
  <si>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</si>
  <si>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</si>
  <si>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</si>
  <si>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</si>
  <si>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</si>
  <si>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</si>
  <si>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</si>
  <si>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</si>
  <si>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</si>
  <si>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</si>
  <si>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</si>
  <si>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</si>
  <si>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</si>
  <si>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</si>
  <si>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</si>
  <si>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</si>
  <si>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</si>
  <si>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</si>
  <si>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</si>
  <si>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</si>
  <si>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</si>
  <si>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</si>
  <si>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</si>
  <si>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</si>
  <si>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</si>
  <si>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</si>
  <si>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</si>
  <si>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</si>
  <si>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</si>
  <si>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</si>
  <si>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</si>
  <si>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</si>
  <si>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</si>
  <si>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</si>
  <si>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</si>
  <si>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</si>
  <si>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</si>
  <si>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</si>
  <si>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</si>
  <si>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</si>
  <si>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</si>
  <si>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</si>
  <si>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</si>
  <si>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</si>
  <si>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</si>
  <si>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</si>
  <si>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</si>
  <si>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</si>
  <si>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</si>
  <si>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</si>
  <si>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</si>
  <si>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</si>
  <si>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</si>
  <si>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</si>
  <si>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</si>
  <si>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</si>
  <si>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</si>
  <si>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</si>
  <si>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</si>
  <si>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</si>
  <si>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</si>
  <si>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</si>
  <si>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</si>
  <si>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</si>
  <si>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</si>
  <si>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</si>
  <si>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</si>
  <si>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</si>
  <si>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</si>
  <si>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</si>
  <si>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</si>
  <si>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</si>
  <si>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</si>
  <si>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</si>
  <si>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</si>
  <si>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</si>
  <si>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</si>
  <si>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</si>
  <si>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</si>
  <si>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</si>
  <si>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</si>
  <si>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</si>
  <si>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</si>
  <si>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</si>
  <si>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</si>
  <si>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</si>
  <si>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</si>
  <si>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</si>
  <si>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</si>
  <si>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</si>
  <si>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</si>
  <si>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</si>
  <si>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</si>
  <si>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</si>
  <si>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</si>
  <si>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</si>
  <si>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</si>
  <si>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</si>
  <si>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</si>
  <si>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</si>
  <si>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</si>
  <si>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</si>
  <si>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</si>
  <si>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</si>
  <si>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</si>
  <si>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</si>
  <si>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</si>
  <si>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</si>
  <si>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</si>
  <si>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</si>
  <si>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</si>
  <si>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</si>
  <si>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</si>
  <si>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</si>
  <si>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</si>
  <si>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</si>
  <si>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</si>
  <si>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</si>
  <si>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</si>
  <si>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</si>
  <si>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</si>
  <si>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</si>
  <si>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</si>
  <si>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</si>
  <si>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</si>
  <si>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</si>
  <si>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</si>
  <si>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</si>
  <si>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</si>
  <si>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</si>
  <si>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</si>
  <si>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</si>
  <si>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</si>
  <si>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</si>
  <si>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</si>
  <si>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</si>
  <si>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</si>
  <si>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</si>
  <si>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</si>
  <si>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</si>
  <si>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</si>
  <si>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</si>
  <si>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</si>
  <si>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</si>
  <si>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</si>
  <si>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</si>
  <si>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</si>
  <si>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</si>
  <si>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</si>
  <si>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</si>
  <si>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</si>
  <si>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</si>
  <si>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</si>
  <si>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</si>
  <si>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</si>
  <si>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</si>
  <si>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</si>
  <si>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</si>
  <si>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</si>
  <si>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</si>
  <si>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</si>
  <si>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</si>
  <si>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</si>
  <si>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</si>
  <si>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</si>
  <si>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</si>
  <si>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</si>
  <si>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</si>
  <si>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</si>
  <si>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</si>
  <si>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</si>
  <si>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</si>
  <si>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</si>
  <si>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</si>
  <si>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</si>
  <si>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</si>
  <si>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</si>
  <si>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</si>
  <si>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</si>
  <si>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</si>
  <si>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</si>
  <si>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</si>
  <si>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</si>
  <si>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</si>
  <si>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</si>
  <si>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</si>
  <si>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</si>
  <si>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</si>
  <si>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</si>
  <si>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</si>
  <si>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</si>
  <si>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</si>
  <si>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</si>
  <si>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</si>
  <si>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</si>
  <si>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</si>
  <si>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</si>
  <si>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</si>
  <si>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</si>
  <si>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</si>
  <si>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</si>
  <si>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</si>
  <si>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</si>
  <si>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</si>
  <si>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</si>
  <si>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</si>
  <si>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</si>
  <si>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</si>
  <si>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</si>
  <si>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</si>
  <si>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</si>
  <si>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</si>
  <si>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</si>
  <si>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</si>
  <si>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</si>
  <si>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</si>
  <si>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</si>
  <si>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</si>
  <si>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</si>
  <si>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</si>
  <si>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</si>
  <si>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</si>
  <si>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</si>
  <si>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</si>
  <si>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</si>
  <si>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</si>
  <si>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</si>
  <si>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</si>
  <si>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</si>
  <si>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</si>
  <si>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</si>
  <si>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</si>
  <si>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</si>
  <si>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</si>
  <si>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</si>
  <si>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</si>
  <si>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</si>
  <si>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</si>
  <si>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</si>
  <si>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</si>
  <si>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</si>
  <si>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</si>
  <si>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</si>
  <si>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</si>
  <si>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</si>
  <si>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</si>
  <si>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</si>
  <si>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</si>
  <si>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</si>
  <si>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</si>
  <si>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</si>
  <si>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</si>
  <si>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</si>
  <si>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</si>
  <si>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</si>
  <si>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</si>
  <si>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</si>
  <si>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</si>
  <si>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</si>
  <si>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</si>
  <si>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</si>
  <si>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</si>
  <si>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</si>
  <si>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</si>
  <si>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</si>
  <si>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</si>
  <si>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</si>
  <si>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</si>
  <si>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</si>
  <si>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</si>
  <si>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</si>
  <si>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</si>
  <si>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</si>
  <si>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</si>
  <si>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</si>
  <si>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</si>
  <si>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</si>
  <si>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</si>
  <si>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</si>
  <si>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</si>
  <si>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</si>
  <si>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</si>
  <si>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</si>
  <si>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</si>
  <si>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</si>
  <si>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</si>
  <si>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</si>
  <si>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</si>
  <si>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</si>
  <si>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</si>
  <si>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</si>
  <si>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</si>
  <si>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</si>
  <si>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</si>
  <si>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</si>
  <si>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</si>
  <si>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</si>
  <si>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</si>
  <si>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</si>
  <si>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</si>
  <si>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</si>
  <si>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</si>
  <si>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</si>
  <si>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</si>
  <si>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</si>
  <si>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</si>
  <si>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</si>
  <si>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</si>
  <si>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</si>
  <si>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</si>
  <si>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</si>
  <si>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</si>
  <si>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</si>
  <si>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</si>
  <si>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</si>
  <si>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</si>
  <si>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</si>
  <si>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</si>
  <si>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</si>
  <si>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</si>
  <si>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</si>
  <si>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</si>
  <si>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</si>
  <si>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</si>
  <si>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</si>
  <si>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</si>
  <si>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</si>
  <si>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</si>
  <si>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</si>
  <si>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</si>
  <si>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</si>
  <si>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</si>
  <si>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</si>
  <si>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</si>
  <si>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</si>
  <si>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</si>
  <si>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</si>
  <si>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</si>
  <si>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</si>
  <si>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</si>
  <si>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</si>
  <si>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</si>
  <si>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</si>
  <si>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</si>
  <si>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</si>
  <si>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</si>
  <si>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</si>
  <si>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</si>
  <si>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</si>
  <si>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</si>
  <si>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</si>
  <si>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</si>
  <si>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</si>
  <si>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</si>
  <si>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</si>
  <si>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</si>
  <si>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</si>
  <si>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</si>
  <si>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</si>
  <si>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</si>
  <si>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</si>
  <si>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</si>
  <si>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</si>
  <si>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</si>
  <si>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</si>
  <si>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</si>
  <si>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</si>
  <si>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</si>
  <si>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</si>
  <si>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</si>
  <si>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</si>
  <si>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</si>
  <si>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</si>
  <si>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</si>
  <si>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</si>
  <si>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</si>
  <si>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</si>
  <si>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</si>
  <si>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</si>
  <si>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</si>
  <si>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</si>
  <si>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</si>
  <si>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</si>
  <si>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</si>
  <si>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</si>
  <si>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</si>
  <si>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</si>
  <si>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</si>
  <si>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</si>
  <si>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</si>
  <si>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</si>
  <si>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</si>
  <si>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</si>
  <si>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</si>
  <si>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</si>
  <si>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</si>
  <si>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</si>
  <si>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</si>
  <si>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</si>
  <si>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</si>
  <si>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</si>
  <si>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</si>
  <si>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</si>
  <si>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</si>
  <si>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</si>
  <si>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</si>
  <si>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</si>
  <si>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</si>
  <si>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</si>
  <si>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</si>
  <si>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</si>
  <si>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</si>
  <si>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</si>
  <si>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</si>
  <si>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</si>
  <si>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</si>
  <si>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</si>
  <si>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</si>
  <si>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</si>
  <si>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</si>
  <si>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</si>
  <si>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</si>
  <si>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</si>
  <si>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</si>
  <si>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</si>
  <si>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</si>
  <si>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</si>
  <si>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</si>
  <si>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</si>
  <si>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</si>
  <si>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</si>
  <si>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</si>
  <si>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</si>
  <si>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</si>
  <si>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</si>
  <si>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</si>
  <si>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</si>
  <si>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</si>
  <si>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</si>
  <si>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</si>
  <si>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</si>
  <si>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</si>
  <si>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</si>
  <si>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</si>
  <si>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</si>
  <si>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</si>
  <si>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</si>
  <si>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</si>
  <si>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</si>
  <si>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</si>
  <si>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</si>
  <si>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</si>
  <si>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</si>
  <si>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</si>
  <si>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</si>
  <si>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</si>
  <si>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</si>
  <si>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</si>
  <si>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</si>
  <si>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</si>
  <si>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</si>
  <si>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</si>
  <si>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</si>
  <si>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</si>
  <si>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</si>
  <si>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</si>
  <si>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</si>
  <si>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</si>
  <si>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</si>
  <si>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</si>
  <si>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</si>
  <si>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</si>
  <si>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</si>
  <si>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</si>
  <si>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</si>
  <si>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</si>
  <si>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</si>
  <si>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</si>
  <si>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</si>
  <si>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</si>
  <si>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</si>
  <si>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</si>
  <si>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</si>
  <si>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</si>
  <si>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</si>
  <si>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</si>
  <si>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</si>
  <si>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</si>
  <si>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</si>
  <si>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</si>
  <si>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</si>
  <si>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</si>
  <si>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</si>
  <si>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</si>
  <si>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</si>
  <si>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</si>
  <si>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</si>
  <si>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</si>
  <si>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</si>
  <si>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</si>
  <si>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</si>
  <si>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</si>
  <si>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</si>
  <si>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</si>
  <si>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</si>
  <si>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</si>
  <si>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</si>
  <si>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</si>
  <si>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</si>
  <si>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</si>
  <si>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</si>
  <si>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</si>
  <si>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</si>
  <si>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</si>
  <si>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</si>
  <si>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</si>
  <si>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</si>
  <si>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</si>
  <si>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</si>
  <si>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</si>
  <si>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</si>
  <si>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</si>
  <si>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</si>
  <si>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</si>
  <si>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</si>
  <si>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</si>
  <si>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</si>
  <si>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</si>
  <si>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</si>
  <si>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</si>
  <si>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</si>
  <si>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</si>
  <si>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</si>
  <si>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</si>
  <si>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</si>
  <si>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</si>
  <si>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</si>
  <si>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</si>
  <si>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</si>
  <si>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</si>
  <si>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</si>
  <si>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</si>
  <si>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</si>
  <si>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</si>
  <si>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</si>
  <si>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</si>
  <si>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</si>
  <si>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</si>
  <si>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</si>
  <si>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</si>
  <si>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</si>
  <si>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</si>
  <si>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</si>
  <si>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</si>
  <si>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</si>
  <si>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</si>
  <si>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</si>
  <si>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</si>
  <si>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</si>
  <si>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</si>
  <si>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</si>
  <si>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</si>
  <si>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</si>
  <si>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</si>
  <si>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</si>
  <si>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</si>
  <si>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</si>
  <si>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</si>
  <si>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</si>
  <si>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</si>
  <si>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</si>
  <si>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</si>
  <si>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</si>
  <si>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</si>
  <si>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</si>
  <si>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</si>
  <si>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</si>
  <si>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</si>
  <si>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</si>
  <si>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</si>
  <si>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</si>
  <si>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</si>
  <si>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</si>
  <si>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</si>
  <si>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</si>
  <si>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</si>
  <si>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</si>
  <si>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</si>
  <si>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</si>
  <si>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</si>
  <si>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</si>
  <si>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</si>
  <si>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</si>
  <si>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</si>
  <si>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</si>
  <si>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</si>
  <si>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</si>
  <si>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</si>
  <si>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</si>
  <si>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</si>
  <si>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</si>
  <si>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</si>
  <si>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</si>
  <si>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</si>
  <si>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</si>
  <si>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</si>
  <si>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</si>
  <si>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</si>
  <si>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</si>
  <si>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</si>
  <si>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</si>
  <si>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</si>
  <si>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</si>
  <si>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</si>
  <si>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</si>
  <si>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</si>
  <si>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</si>
  <si>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</si>
  <si>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</si>
  <si>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</si>
  <si>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</si>
  <si>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</si>
  <si>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</si>
  <si>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</si>
  <si>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</si>
  <si>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</si>
  <si>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</si>
  <si>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</si>
  <si>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</si>
  <si>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</si>
  <si>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</si>
  <si>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</si>
  <si>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</si>
  <si>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</si>
  <si>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</si>
  <si>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</si>
  <si>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</si>
  <si>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</si>
  <si>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</si>
  <si>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</si>
  <si>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</si>
  <si>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</si>
  <si>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</si>
  <si>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</si>
  <si>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</si>
  <si>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</si>
  <si>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</si>
  <si>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</si>
  <si>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</si>
  <si>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</si>
  <si>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</si>
  <si>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</si>
  <si>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</si>
  <si>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</si>
  <si>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</si>
  <si>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</si>
  <si>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</si>
  <si>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</si>
  <si>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</si>
  <si>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</si>
  <si>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</si>
  <si>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</si>
  <si>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</si>
  <si>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</si>
  <si>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</si>
  <si>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</si>
  <si>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</si>
  <si>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</si>
  <si>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</si>
  <si>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</si>
  <si>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</si>
  <si>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</si>
  <si>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</si>
  <si>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</si>
  <si>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</si>
  <si>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</si>
  <si>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</si>
  <si>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</si>
  <si>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</si>
  <si>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</si>
  <si>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</si>
  <si>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</si>
  <si>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</si>
  <si>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</si>
  <si>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</si>
  <si>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</si>
  <si>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</si>
  <si>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</si>
  <si>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</si>
  <si>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</si>
  <si>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</si>
  <si>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</si>
  <si>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</si>
  <si>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</si>
  <si>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</si>
  <si>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</si>
  <si>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</si>
  <si>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</si>
  <si>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</si>
  <si>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</si>
  <si>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</si>
  <si>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</si>
  <si>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</si>
  <si>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</si>
  <si>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</si>
  <si>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</si>
  <si>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</si>
  <si>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</si>
  <si>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</si>
  <si>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</si>
  <si>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</si>
  <si>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</si>
  <si>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</si>
  <si>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</si>
  <si>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</si>
  <si>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</si>
  <si>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</si>
  <si>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</si>
  <si>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</si>
  <si>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</si>
  <si>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</si>
  <si>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</si>
  <si>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</si>
  <si>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</si>
  <si>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</si>
  <si>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</si>
  <si>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</si>
  <si>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</si>
  <si>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</si>
  <si>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</si>
  <si>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</si>
  <si>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</si>
  <si>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</si>
  <si>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</si>
  <si>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</si>
  <si>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</si>
  <si>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</si>
  <si>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</si>
  <si>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</si>
  <si>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</si>
  <si>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</si>
  <si>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</si>
  <si>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</si>
  <si>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</si>
  <si>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</si>
  <si>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</si>
  <si>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</si>
  <si>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</si>
  <si>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</si>
  <si>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</si>
  <si>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</si>
  <si>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</si>
  <si>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</si>
  <si>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</si>
  <si>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</si>
  <si>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</si>
  <si>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</si>
  <si>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</si>
  <si>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</si>
  <si>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</si>
  <si>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</si>
  <si>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</si>
  <si>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</si>
  <si>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</si>
  <si>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</si>
  <si>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</si>
  <si>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</si>
  <si>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</si>
  <si>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</si>
  <si>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</si>
  <si>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</si>
  <si>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</si>
  <si>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</si>
  <si>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</si>
  <si>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</si>
  <si>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</si>
  <si>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</si>
  <si>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</si>
  <si>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</si>
  <si>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</si>
  <si>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</si>
  <si>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</si>
  <si>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</si>
  <si>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</si>
  <si>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</si>
  <si>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</si>
  <si>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</si>
  <si>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</si>
  <si>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</si>
  <si>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</si>
  <si>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</si>
  <si>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</si>
  <si>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</si>
  <si>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</si>
  <si>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</si>
  <si>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</si>
  <si>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</si>
  <si>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</si>
  <si>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</si>
  <si>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</si>
  <si>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</si>
  <si>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</si>
  <si>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</si>
  <si>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</si>
  <si>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</si>
  <si>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</si>
  <si>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</si>
  <si>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</si>
  <si>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</si>
  <si>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</si>
  <si>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</si>
  <si>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</si>
  <si>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</si>
  <si>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</si>
  <si>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</si>
  <si>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</si>
  <si>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</si>
  <si>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</si>
  <si>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</si>
  <si>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</si>
  <si>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</si>
  <si>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</si>
  <si>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</si>
  <si>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</si>
  <si>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</si>
  <si>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</si>
  <si>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</si>
  <si>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</si>
  <si>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</si>
  <si>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</si>
  <si>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</si>
  <si>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</si>
  <si>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</si>
  <si>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</si>
  <si>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</si>
  <si>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</si>
  <si>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</si>
  <si>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</si>
  <si>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</si>
  <si>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</si>
  <si>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</si>
  <si>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</si>
  <si>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</si>
  <si>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</si>
  <si>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</si>
  <si>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</si>
  <si>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</si>
  <si>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</si>
  <si>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</si>
  <si>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</si>
  <si>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</si>
  <si>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</si>
  <si>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</si>
  <si>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</si>
  <si>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</si>
  <si>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</si>
  <si>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</si>
  <si>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</si>
  <si>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</si>
  <si>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</si>
  <si>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</si>
  <si>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</si>
  <si>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</si>
  <si>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</si>
  <si>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</si>
  <si>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</si>
  <si>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</si>
  <si>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</si>
  <si>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</si>
  <si>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</si>
  <si>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</si>
  <si>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</si>
  <si>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</si>
  <si>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</si>
  <si>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</si>
  <si>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</si>
  <si>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</si>
  <si>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</si>
  <si>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</si>
  <si>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</si>
  <si>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</si>
  <si>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</si>
  <si>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</si>
  <si>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</si>
  <si>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</si>
  <si>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</si>
  <si>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</si>
  <si>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</si>
  <si>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</si>
  <si>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</si>
  <si>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</si>
  <si>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</si>
  <si>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</si>
  <si>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</si>
  <si>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</si>
  <si>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</si>
  <si>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</si>
  <si>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</si>
  <si>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</si>
  <si>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</si>
  <si>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</si>
  <si>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</si>
  <si>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</si>
  <si>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</si>
  <si>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</si>
  <si>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</si>
  <si>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</si>
  <si>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</si>
  <si>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</si>
  <si>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</si>
  <si>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</si>
  <si>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</si>
  <si>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</si>
  <si>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</si>
  <si>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</si>
  <si>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</si>
  <si>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</si>
  <si>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</si>
  <si>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</si>
  <si>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</si>
  <si>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</si>
  <si>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</si>
  <si>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</si>
  <si>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</si>
  <si>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</si>
  <si>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</si>
  <si>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</si>
  <si>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</si>
  <si>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</si>
  <si>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</si>
  <si>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</si>
  <si>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</si>
  <si>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</si>
  <si>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</si>
  <si>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</si>
  <si>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</si>
  <si>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</si>
  <si>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</si>
  <si>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</si>
  <si>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</si>
  <si>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</si>
  <si>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</si>
  <si>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</si>
  <si>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</si>
  <si>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</si>
  <si>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</si>
  <si>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</si>
  <si>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</si>
  <si>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</si>
  <si>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</si>
  <si>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</si>
  <si>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</si>
  <si>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</si>
  <si>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</si>
  <si>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</si>
  <si>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</si>
  <si>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</si>
  <si>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</si>
  <si>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</si>
  <si>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</si>
  <si>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</si>
  <si>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</si>
  <si>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</si>
  <si>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</si>
  <si>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</si>
  <si>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</si>
  <si>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</si>
  <si>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</si>
  <si>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</si>
  <si>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</si>
  <si>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</si>
  <si>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</si>
  <si>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</si>
  <si>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</si>
  <si>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</si>
  <si>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</si>
  <si>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</si>
  <si>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</si>
  <si>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</si>
  <si>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</si>
  <si>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</si>
  <si>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</si>
  <si>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</si>
  <si>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</si>
  <si>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</si>
  <si>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</si>
  <si>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</si>
  <si>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</si>
  <si>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</si>
  <si>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</si>
  <si>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</si>
  <si>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</si>
  <si>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</si>
  <si>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</si>
  <si>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</si>
  <si>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</si>
  <si>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</si>
  <si>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</si>
  <si>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</si>
  <si>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</si>
  <si>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</si>
  <si>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</si>
  <si>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</si>
  <si>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</si>
  <si>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</si>
  <si>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</si>
  <si>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</si>
  <si>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</si>
  <si>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</si>
  <si>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</si>
  <si>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</si>
  <si>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</si>
  <si>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</si>
  <si>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</si>
  <si>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</si>
  <si>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</si>
  <si>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</si>
  <si>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</si>
  <si>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</si>
  <si>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</si>
  <si>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</si>
  <si>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</si>
  <si>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</si>
  <si>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</si>
  <si>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</si>
  <si>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</si>
  <si>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</si>
  <si>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</si>
  <si>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</si>
  <si>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</si>
  <si>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</si>
  <si>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</si>
  <si>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</si>
  <si>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</si>
  <si>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</si>
  <si>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</si>
  <si>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</si>
  <si>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</si>
  <si>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</si>
  <si>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</si>
  <si>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</si>
  <si>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</si>
  <si>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</si>
  <si>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</si>
  <si>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</si>
  <si>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</si>
  <si>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</si>
  <si>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</si>
  <si>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</si>
  <si>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</si>
  <si>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</si>
  <si>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</si>
  <si>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</si>
  <si>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</si>
  <si>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</si>
  <si>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</si>
  <si>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</si>
  <si>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</si>
  <si>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</si>
  <si>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</si>
  <si>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</si>
  <si>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</si>
  <si>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</si>
  <si>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</si>
  <si>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</si>
  <si>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</si>
  <si>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</si>
  <si>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</si>
  <si>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</si>
  <si>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</si>
  <si>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</si>
  <si>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</si>
  <si>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</si>
  <si>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</si>
  <si>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</si>
  <si>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</si>
  <si>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</si>
  <si>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</si>
  <si>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</si>
  <si>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</si>
  <si>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</si>
  <si>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</si>
  <si>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</si>
  <si>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</si>
  <si>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</si>
  <si>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</si>
  <si>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</si>
  <si>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</si>
  <si>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</si>
  <si>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</si>
  <si>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</si>
  <si>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</si>
  <si>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</si>
  <si>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</si>
  <si>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</si>
  <si>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</si>
  <si>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</si>
  <si>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</si>
  <si>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</si>
  <si>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</si>
  <si>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</si>
  <si>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</si>
  <si>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</si>
  <si>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</si>
  <si>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</si>
  <si>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</si>
  <si>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</si>
  <si>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</si>
  <si>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</si>
  <si>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</si>
  <si>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</si>
  <si>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</si>
  <si>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</si>
  <si>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</si>
  <si>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</si>
  <si>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</si>
  <si>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</si>
  <si>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</si>
  <si>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</si>
  <si>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</si>
  <si>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</si>
  <si>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</si>
  <si>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</si>
  <si>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</si>
  <si>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</si>
  <si>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</si>
  <si>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</si>
  <si>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</si>
  <si>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</si>
  <si>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</si>
  <si>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</si>
  <si>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</si>
  <si>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</si>
  <si>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</si>
  <si>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</si>
  <si>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</si>
  <si>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</si>
  <si>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</si>
  <si>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</si>
  <si>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</si>
  <si>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</si>
  <si>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</si>
  <si>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</si>
  <si>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</si>
  <si>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</si>
  <si>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</si>
  <si>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</si>
  <si>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</si>
  <si>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</si>
  <si>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</si>
  <si>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</si>
  <si>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</si>
  <si>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</si>
  <si>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</si>
  <si>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</si>
  <si>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</si>
  <si>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</si>
  <si>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</si>
  <si>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</si>
  <si>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</si>
  <si>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</si>
  <si>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</si>
  <si>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</si>
  <si>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</si>
  <si>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</si>
  <si>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</si>
  <si>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</si>
  <si>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</si>
  <si>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</si>
  <si>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</si>
  <si>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</si>
  <si>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</si>
  <si>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</si>
  <si>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</si>
  <si>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</si>
  <si>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</si>
  <si>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</si>
  <si>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</si>
  <si>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</si>
  <si>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</si>
  <si>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</si>
  <si>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</si>
  <si>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</si>
  <si>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</si>
  <si>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</si>
  <si>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</si>
  <si>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</si>
  <si>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</si>
  <si>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</si>
  <si>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</si>
  <si>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</si>
  <si>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</si>
  <si>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</si>
  <si>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</si>
  <si>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</si>
  <si>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</si>
  <si>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</si>
  <si>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</si>
  <si>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</si>
  <si>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</si>
  <si>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</si>
  <si>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</si>
  <si>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</si>
  <si>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</si>
  <si>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</si>
  <si>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</si>
  <si>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</si>
  <si>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</si>
  <si>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</si>
  <si>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</si>
  <si>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</si>
  <si>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</si>
  <si>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</si>
  <si>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</si>
  <si>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</si>
  <si>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</si>
  <si>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</si>
  <si>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</si>
  <si>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</si>
  <si>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</si>
  <si>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</si>
  <si>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</si>
  <si>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</si>
  <si>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</si>
  <si>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</si>
  <si>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</si>
  <si>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</si>
  <si>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</si>
  <si>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</si>
  <si>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</si>
  <si>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</si>
  <si>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</si>
  <si>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</si>
  <si>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</si>
  <si>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</si>
  <si>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</si>
  <si>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</si>
  <si>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</si>
  <si>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</si>
  <si>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</si>
  <si>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</si>
  <si>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</si>
  <si>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</si>
  <si>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</si>
  <si>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</si>
  <si>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</si>
  <si>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</si>
  <si>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</si>
  <si>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</si>
  <si>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</si>
  <si>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</si>
  <si>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</si>
  <si>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</si>
  <si>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</si>
  <si>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</si>
  <si>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</si>
  <si>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</si>
  <si>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</si>
  <si>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</si>
  <si>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</si>
  <si>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</si>
  <si>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</si>
  <si>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</si>
  <si>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</si>
  <si>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</si>
  <si>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</si>
  <si>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</si>
  <si>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</si>
  <si>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</si>
  <si>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</si>
  <si>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</si>
  <si>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</si>
  <si>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</si>
  <si>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</si>
  <si>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</si>
  <si>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</si>
  <si>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</si>
  <si>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</si>
  <si>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</si>
  <si>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</si>
  <si>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</si>
  <si>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</si>
  <si>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</si>
  <si>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</si>
  <si>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</si>
  <si>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</si>
  <si>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</si>
  <si>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</si>
  <si>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</si>
  <si>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</si>
  <si>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</si>
  <si>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</si>
  <si>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</si>
  <si>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</si>
  <si>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</si>
  <si>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</si>
  <si>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</si>
  <si>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</si>
  <si>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</si>
  <si>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</si>
  <si>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</si>
  <si>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</si>
  <si>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</si>
  <si>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</si>
  <si>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</si>
  <si>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</si>
  <si>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</si>
  <si>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</si>
  <si>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</si>
  <si>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</si>
  <si>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</si>
  <si>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</si>
  <si>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</si>
  <si>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</si>
  <si>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</si>
  <si>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</si>
  <si>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</si>
  <si>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</si>
  <si>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</si>
  <si>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</si>
  <si>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</si>
  <si>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</si>
  <si>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</si>
  <si>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</si>
  <si>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</si>
  <si>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</si>
  <si>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</si>
  <si>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</si>
  <si>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</si>
  <si>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</si>
  <si>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</si>
  <si>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</si>
  <si>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</si>
  <si>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</si>
  <si>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</si>
  <si>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</si>
  <si>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</si>
  <si>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</si>
  <si>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</si>
  <si>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</si>
  <si>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</si>
  <si>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</si>
  <si>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</si>
  <si>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</si>
  <si>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</si>
  <si>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</si>
  <si>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</si>
  <si>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</si>
  <si>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</si>
  <si>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</si>
  <si>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</si>
  <si>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</si>
  <si>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</si>
  <si>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</si>
  <si>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</si>
  <si>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</si>
  <si>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</si>
  <si>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</si>
  <si>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</si>
  <si>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</si>
  <si>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</si>
  <si>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</si>
  <si>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</si>
  <si>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</si>
  <si>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</si>
  <si>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</si>
  <si>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</si>
  <si>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</si>
  <si>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</si>
  <si>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</si>
  <si>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</si>
  <si>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</si>
  <si>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</si>
  <si>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</si>
  <si>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</si>
  <si>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</si>
  <si>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</si>
  <si>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</si>
  <si>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</si>
  <si>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</si>
  <si>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</si>
  <si>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</si>
  <si>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</si>
  <si>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</si>
  <si>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</si>
  <si>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</si>
  <si>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</si>
  <si>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</si>
  <si>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</si>
  <si>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</si>
  <si>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</si>
  <si>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</si>
  <si>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</si>
  <si>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</si>
  <si>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</si>
  <si>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</si>
  <si>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</si>
  <si>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</si>
  <si>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</si>
  <si>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</si>
  <si>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</si>
  <si>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</si>
  <si>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</si>
  <si>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</si>
  <si>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</si>
  <si>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</si>
  <si>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</si>
  <si>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</si>
  <si>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</si>
  <si>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</si>
  <si>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</si>
  <si>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</si>
  <si>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</si>
  <si>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</si>
  <si>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</si>
  <si>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</si>
  <si>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</si>
  <si>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</si>
  <si>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</si>
  <si>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</si>
  <si>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</si>
  <si>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</si>
  <si>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</si>
  <si>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</si>
  <si>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</si>
  <si>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</si>
  <si>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</si>
  <si>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</si>
  <si>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</si>
  <si>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</si>
  <si>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</si>
  <si>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</si>
  <si>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</si>
  <si>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</si>
  <si>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</si>
  <si>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</si>
  <si>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</si>
  <si>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</si>
  <si>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</si>
  <si>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</si>
  <si>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</si>
  <si>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</si>
  <si>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</si>
  <si>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</si>
  <si>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</si>
  <si>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</si>
  <si>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</si>
  <si>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</si>
  <si>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</si>
  <si>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</si>
  <si>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</si>
  <si>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</si>
  <si>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</si>
  <si>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</si>
  <si>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</si>
  <si>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</si>
  <si>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</si>
  <si>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</si>
  <si>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</si>
  <si>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</si>
  <si>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</si>
  <si>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</si>
  <si>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</si>
  <si>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</si>
  <si>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</si>
  <si>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</si>
  <si>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</si>
  <si>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</si>
  <si>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</si>
  <si>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</si>
  <si>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</si>
  <si>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</si>
  <si>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</si>
  <si>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</si>
  <si>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</si>
  <si>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</si>
  <si>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</si>
  <si>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</si>
  <si>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</si>
  <si>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</si>
  <si>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</si>
  <si>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</si>
  <si>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</si>
  <si>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</si>
  <si>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</si>
  <si>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</si>
  <si>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</si>
  <si>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</si>
  <si>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</si>
  <si>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</si>
  <si>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</si>
  <si>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</si>
  <si>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</si>
  <si>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</si>
  <si>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</si>
  <si>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</si>
  <si>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</si>
  <si>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</si>
  <si>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</si>
  <si>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</si>
  <si>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</si>
  <si>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</si>
  <si>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</si>
  <si>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</si>
  <si>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</si>
  <si>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</si>
  <si>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</si>
  <si>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</si>
  <si>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</si>
  <si>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</si>
  <si>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</si>
  <si>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</si>
  <si>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</si>
  <si>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</si>
  <si>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</si>
  <si>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</si>
  <si>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</si>
  <si>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</si>
  <si>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</si>
  <si>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</si>
  <si>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</si>
  <si>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</si>
  <si>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</si>
  <si>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</si>
  <si>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</si>
  <si>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</si>
  <si>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</si>
  <si>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</si>
  <si>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</si>
  <si>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</si>
  <si>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</si>
  <si>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</si>
  <si>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</si>
  <si>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</si>
  <si>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</si>
  <si>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</si>
  <si>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</si>
  <si>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</si>
  <si>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</si>
  <si>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</si>
  <si>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</si>
  <si>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</si>
  <si>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</si>
  <si>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</si>
  <si>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</si>
  <si>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</si>
  <si>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</si>
  <si>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</si>
  <si>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</si>
  <si>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</si>
  <si>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</si>
  <si>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</si>
  <si>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</si>
  <si>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</si>
  <si>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</si>
  <si>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</si>
  <si>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</si>
  <si>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</si>
  <si>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</si>
  <si>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</si>
  <si>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</si>
  <si>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</si>
  <si>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</si>
  <si>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</si>
  <si>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</si>
  <si>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</si>
  <si>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</si>
  <si>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</si>
  <si>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</si>
  <si>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</si>
  <si>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</si>
  <si>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</si>
  <si>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</si>
  <si>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</si>
  <si>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</si>
  <si>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</si>
  <si>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</si>
  <si>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</si>
  <si>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</si>
  <si>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</si>
  <si>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</si>
  <si>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</si>
  <si>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</si>
  <si>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</si>
  <si>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</si>
  <si>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</si>
  <si>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</si>
  <si>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</si>
  <si>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</si>
  <si>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</si>
  <si>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</si>
  <si>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</si>
  <si>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</si>
  <si>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</si>
  <si>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</si>
  <si>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</si>
  <si>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</si>
  <si>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</si>
  <si>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</si>
  <si>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</si>
  <si>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</si>
  <si>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</si>
  <si>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</si>
  <si>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</si>
  <si>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</si>
  <si>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</si>
  <si>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</si>
  <si>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</si>
  <si>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</si>
  <si>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</si>
  <si>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</si>
  <si>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</si>
  <si>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</si>
  <si>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</si>
  <si>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</si>
  <si>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</si>
  <si>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</si>
  <si>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</si>
  <si>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</si>
  <si>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</si>
  <si>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</si>
  <si>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</si>
  <si>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</si>
  <si>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</si>
  <si>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</si>
  <si>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</si>
  <si>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</si>
  <si>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</si>
  <si>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</si>
  <si>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</si>
  <si>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</si>
  <si>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</si>
  <si>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</si>
  <si>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</si>
  <si>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</si>
  <si>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</si>
  <si>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</si>
  <si>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</si>
  <si>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</si>
  <si>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</si>
  <si>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</si>
  <si>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</si>
  <si>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</si>
  <si>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</si>
  <si>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</si>
  <si>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</si>
  <si>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</si>
  <si>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</si>
  <si>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</si>
  <si>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</si>
  <si>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</si>
  <si>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</si>
  <si>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</si>
  <si>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</si>
  <si>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</si>
  <si>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</si>
  <si>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</si>
  <si>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</si>
  <si>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</si>
  <si>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</si>
  <si>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</si>
  <si>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</si>
  <si>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</si>
  <si>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</si>
  <si>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</si>
  <si>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</si>
  <si>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</si>
  <si>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</si>
  <si>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</si>
  <si>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</si>
  <si>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</si>
  <si>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</si>
  <si>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</si>
  <si>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</si>
  <si>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</si>
  <si>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</si>
  <si>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</si>
  <si>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</si>
  <si>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</si>
  <si>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</si>
  <si>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</si>
  <si>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</si>
  <si>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</si>
  <si>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</si>
  <si>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</si>
  <si>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</si>
  <si>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</si>
  <si>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</si>
  <si>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</si>
  <si>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</si>
  <si>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</si>
  <si>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</si>
  <si>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</si>
  <si>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</si>
  <si>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</si>
  <si>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</si>
  <si>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</si>
  <si>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</si>
  <si>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</si>
  <si>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</si>
  <si>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</si>
  <si>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</si>
  <si>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</si>
  <si>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</si>
  <si>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</si>
  <si>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</si>
  <si>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</si>
  <si>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</si>
  <si>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</si>
  <si>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</si>
  <si>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</si>
  <si>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</si>
  <si>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</si>
  <si>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</si>
  <si>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</si>
  <si>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</si>
  <si>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</si>
  <si>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</si>
  <si>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</si>
  <si>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</si>
  <si>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</si>
  <si>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</si>
  <si>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</si>
  <si>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</si>
  <si>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</si>
  <si>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</si>
  <si>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</si>
  <si>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</si>
  <si>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</si>
  <si>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</si>
  <si>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</si>
  <si>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</si>
  <si>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</si>
  <si>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</si>
  <si>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</si>
  <si>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</si>
  <si>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</si>
  <si>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</si>
  <si>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</si>
  <si>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</si>
  <si>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</si>
  <si>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</si>
  <si>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</si>
  <si>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</si>
  <si>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</si>
  <si>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</si>
  <si>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</si>
  <si>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</si>
  <si>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</si>
  <si>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</si>
  <si>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</si>
  <si>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</si>
  <si>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</si>
  <si>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</si>
  <si>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</si>
  <si>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</si>
  <si>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</si>
  <si>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</si>
  <si>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</si>
  <si>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</si>
  <si>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</si>
  <si>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</si>
  <si>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</si>
  <si>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</si>
  <si>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</si>
  <si>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</si>
  <si>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</si>
  <si>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</si>
  <si>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</si>
  <si>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</si>
  <si>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</si>
  <si>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</si>
  <si>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</si>
  <si>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</si>
  <si>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</si>
  <si>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</si>
  <si>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</si>
  <si>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</si>
  <si>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</si>
  <si>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</si>
  <si>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</si>
  <si>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</si>
  <si>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</si>
  <si>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</si>
  <si>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</si>
  <si>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</si>
  <si>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</si>
  <si>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</si>
  <si>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</si>
  <si>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</si>
  <si>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</si>
  <si>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</si>
  <si>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</si>
  <si>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</si>
  <si>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</si>
  <si>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</si>
  <si>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</si>
  <si>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</si>
  <si>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</si>
  <si>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</si>
  <si>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</si>
  <si>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</si>
  <si>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</si>
  <si>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</si>
  <si>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</si>
  <si>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</si>
  <si>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</si>
  <si>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</si>
  <si>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</si>
  <si>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</si>
  <si>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</si>
  <si>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</si>
  <si>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</si>
  <si>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</si>
  <si>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</si>
  <si>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</si>
  <si>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</si>
  <si>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</si>
  <si>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</si>
  <si>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</si>
  <si>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</si>
  <si>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</si>
  <si>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</si>
  <si>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</si>
  <si>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</si>
  <si>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</si>
  <si>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</si>
  <si>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</si>
  <si>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</si>
  <si>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</si>
  <si>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</si>
  <si>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</si>
  <si>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</si>
  <si>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</si>
  <si>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</si>
  <si>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</si>
  <si>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</si>
  <si>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</si>
  <si>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</si>
  <si>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</si>
  <si>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</si>
  <si>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</si>
  <si>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</si>
  <si>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</si>
  <si>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</si>
  <si>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</si>
  <si>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</si>
  <si>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</si>
  <si>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</si>
  <si>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</si>
  <si>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</si>
  <si>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</si>
  <si>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</si>
  <si>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</si>
  <si>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</si>
  <si>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</si>
  <si>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</si>
  <si>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</si>
  <si>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</si>
  <si>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</si>
  <si>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</si>
  <si>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</si>
  <si>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</si>
  <si>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</si>
  <si>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</si>
  <si>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</si>
  <si>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</si>
  <si>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</si>
  <si>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</si>
  <si>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</si>
  <si>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</si>
  <si>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</si>
  <si>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</si>
  <si>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</si>
  <si>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</si>
  <si>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</si>
  <si>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</si>
  <si>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</si>
  <si>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</si>
  <si>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</si>
  <si>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</si>
  <si>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</si>
  <si>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</si>
  <si>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</si>
  <si>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</si>
  <si>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</si>
  <si>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</si>
  <si>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</si>
  <si>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</si>
  <si>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</si>
  <si>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</si>
  <si>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</si>
  <si>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</si>
  <si>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</si>
  <si>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</si>
  <si>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</si>
  <si>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</si>
  <si>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</si>
  <si>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</si>
  <si>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</si>
  <si>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</si>
  <si>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</si>
  <si>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</si>
  <si>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</si>
  <si>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</si>
  <si>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</si>
  <si>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</si>
  <si>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</si>
  <si>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</si>
  <si>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</si>
  <si>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</si>
  <si>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</si>
  <si>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</si>
  <si>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</si>
  <si>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</si>
  <si>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</si>
  <si>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</si>
  <si>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</si>
  <si>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</si>
  <si>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</si>
  <si>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</si>
  <si>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</si>
  <si>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</si>
  <si>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</si>
  <si>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</si>
  <si>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</si>
  <si>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</si>
  <si>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</si>
  <si>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</si>
  <si>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</si>
  <si>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</si>
  <si>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</si>
  <si>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</si>
  <si>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</si>
  <si>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</si>
  <si>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</si>
  <si>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</si>
  <si>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</si>
  <si>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</si>
  <si>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</si>
  <si>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</si>
  <si>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</si>
  <si>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</si>
  <si>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</si>
  <si>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</si>
  <si>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</si>
  <si>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</si>
  <si>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</si>
  <si>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</si>
  <si>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</si>
  <si>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</si>
  <si>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</si>
  <si>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</si>
  <si>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</si>
  <si>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</si>
  <si>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</si>
  <si>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</si>
  <si>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</si>
  <si>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</si>
  <si>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</si>
  <si>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</si>
  <si>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</si>
  <si>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</si>
  <si>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</si>
  <si>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</si>
  <si>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</si>
  <si>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</si>
  <si>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</si>
  <si>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</si>
  <si>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</si>
  <si>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</si>
  <si>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</si>
  <si>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</si>
  <si>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</si>
  <si>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</si>
  <si>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</si>
  <si>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</si>
  <si>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</si>
  <si>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</si>
  <si>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</si>
  <si>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</si>
  <si>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</si>
  <si>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</si>
  <si>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</si>
  <si>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</si>
  <si>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</si>
  <si>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</si>
  <si>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</si>
  <si>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</si>
  <si>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</si>
  <si>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</si>
  <si>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</si>
  <si>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</si>
  <si>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</si>
  <si>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</si>
  <si>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</si>
  <si>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</si>
  <si>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</si>
  <si>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</si>
  <si>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</si>
  <si>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</si>
  <si>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</si>
  <si>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</si>
  <si>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</si>
  <si>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</si>
  <si>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</si>
  <si>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</si>
  <si>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</si>
  <si>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</si>
  <si>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</si>
  <si>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</si>
  <si>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</si>
  <si>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</si>
  <si>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</si>
  <si>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</si>
  <si>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</si>
  <si>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</si>
  <si>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</si>
  <si>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</si>
  <si>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</si>
  <si>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</si>
  <si>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</si>
  <si>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</si>
  <si>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</si>
  <si>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</si>
  <si>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</si>
  <si>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</si>
  <si>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</si>
  <si>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</si>
  <si>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</si>
  <si>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</si>
  <si>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</si>
  <si>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</si>
  <si>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</si>
  <si>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</si>
  <si>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</si>
  <si>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</si>
  <si>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</si>
  <si>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</si>
  <si>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</si>
  <si>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</si>
  <si>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</si>
  <si>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</si>
  <si>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</si>
  <si>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</si>
  <si>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</si>
  <si>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</si>
  <si>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</si>
  <si>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</si>
  <si>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</si>
  <si>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</si>
  <si>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</si>
  <si>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</si>
  <si>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</si>
  <si>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</si>
  <si>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</si>
  <si>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</si>
  <si>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</si>
  <si>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</si>
  <si>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</si>
  <si>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</si>
  <si>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</si>
  <si>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</si>
  <si>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</si>
  <si>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</si>
  <si>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</si>
  <si>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</si>
  <si>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</si>
  <si>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</si>
  <si>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</si>
  <si>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</si>
  <si>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</si>
  <si>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</si>
  <si>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</si>
  <si>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</si>
  <si>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</si>
  <si>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</si>
  <si>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</si>
  <si>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</si>
  <si>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</si>
  <si>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</si>
  <si>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</si>
  <si>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</si>
  <si>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</si>
  <si>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</si>
  <si>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</si>
  <si>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</si>
  <si>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</si>
  <si>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</si>
  <si>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</si>
  <si>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</si>
  <si>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</si>
  <si>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</si>
  <si>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</si>
  <si>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</si>
  <si>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</si>
  <si>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</si>
  <si>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</si>
  <si>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</si>
  <si>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</si>
  <si>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</si>
  <si>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</si>
  <si>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</si>
  <si>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</si>
  <si>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</si>
  <si>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</si>
  <si>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</si>
  <si>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</si>
  <si>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</si>
  <si>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</si>
  <si>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</si>
  <si>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</si>
  <si>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</si>
  <si>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</si>
  <si>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</si>
  <si>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</si>
  <si>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</si>
  <si>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</si>
  <si>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</si>
  <si>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</si>
  <si>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</si>
  <si>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</si>
  <si>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</si>
  <si>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</si>
  <si>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</si>
  <si>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</si>
  <si>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</si>
  <si>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</si>
  <si>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</si>
  <si>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</si>
  <si>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</si>
  <si>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</si>
  <si>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</si>
  <si>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</si>
  <si>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</si>
  <si>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</si>
  <si>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</si>
  <si>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</si>
  <si>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</si>
  <si>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</si>
  <si>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</si>
  <si>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</si>
  <si>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</si>
  <si>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</si>
  <si>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</si>
  <si>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</si>
  <si>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</si>
  <si>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</si>
  <si>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</si>
  <si>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</si>
  <si>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</si>
  <si>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</si>
  <si>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</si>
  <si>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</si>
  <si>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</si>
  <si>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</si>
  <si>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</si>
  <si>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</si>
  <si>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</si>
  <si>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</si>
  <si>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</si>
  <si>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</si>
  <si>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</si>
  <si>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</si>
  <si>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</si>
  <si>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</si>
  <si>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</si>
  <si>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</si>
  <si>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</si>
  <si>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</si>
  <si>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</si>
  <si>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</si>
  <si>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</si>
  <si>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</si>
  <si>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</si>
  <si>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</si>
  <si>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</si>
  <si>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</si>
  <si>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</si>
  <si>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</si>
  <si>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</si>
  <si>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</si>
  <si>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</si>
  <si>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</si>
  <si>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</si>
  <si>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</si>
  <si>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</si>
  <si>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</si>
  <si>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</si>
  <si>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</si>
  <si>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</si>
  <si>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</si>
  <si>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</si>
  <si>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</si>
  <si>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</si>
  <si>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</si>
  <si>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</si>
  <si>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</si>
  <si>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</si>
  <si>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</si>
  <si>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</si>
  <si>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</si>
  <si>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</si>
  <si>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</si>
  <si>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</si>
  <si>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</si>
  <si>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</si>
  <si>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</si>
  <si>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</si>
  <si>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</si>
  <si>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</si>
  <si>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</si>
  <si>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</si>
  <si>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</si>
  <si>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</si>
  <si>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</si>
  <si>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</si>
  <si>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</si>
  <si>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</si>
  <si>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</si>
  <si>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</si>
  <si>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</si>
  <si>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</si>
  <si>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</si>
  <si>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</si>
  <si>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</si>
  <si>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</si>
  <si>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</si>
  <si>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</si>
  <si>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</si>
  <si>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</si>
  <si>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</si>
  <si>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</si>
  <si>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</si>
  <si>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</si>
  <si>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</si>
  <si>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</si>
  <si>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</si>
  <si>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</si>
  <si>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</si>
  <si>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</si>
  <si>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</si>
  <si>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</si>
  <si>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</si>
  <si>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</si>
  <si>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</si>
  <si>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</si>
  <si>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</si>
  <si>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</si>
  <si>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</si>
  <si>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</si>
  <si>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</si>
  <si>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</si>
  <si>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</si>
  <si>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</si>
  <si>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</si>
  <si>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</si>
  <si>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</si>
  <si>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</si>
  <si>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</si>
  <si>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</si>
  <si>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</si>
  <si>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</si>
  <si>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</si>
  <si>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</si>
  <si>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</si>
  <si>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</si>
  <si>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</si>
  <si>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</si>
  <si>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</si>
  <si>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</si>
  <si>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</si>
  <si>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</si>
  <si>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</si>
  <si>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</si>
  <si>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</si>
  <si>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</si>
  <si>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</si>
  <si>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</si>
  <si>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</si>
  <si>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</si>
  <si>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</si>
  <si>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</si>
  <si>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</si>
  <si>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</si>
  <si>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</si>
  <si>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</si>
  <si>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</si>
  <si>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</si>
  <si>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</si>
  <si>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</si>
  <si>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</si>
  <si>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</si>
  <si>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</si>
  <si>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</si>
  <si>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</si>
  <si>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</si>
  <si>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</si>
  <si>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</si>
  <si>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</si>
  <si>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</si>
  <si>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</si>
  <si>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</si>
  <si>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</si>
  <si>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</si>
  <si>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</si>
  <si>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</si>
  <si>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</si>
  <si>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</si>
  <si>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</si>
  <si>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</si>
  <si>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</si>
  <si>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</si>
  <si>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</si>
  <si>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</si>
  <si>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</si>
  <si>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</si>
  <si>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</si>
  <si>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</si>
  <si>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</si>
  <si>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</si>
  <si>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</si>
  <si>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</si>
  <si>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</si>
  <si>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</si>
  <si>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</si>
  <si>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</si>
  <si>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</si>
  <si>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</si>
  <si>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</si>
  <si>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</si>
  <si>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</si>
  <si>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</si>
  <si>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</si>
  <si>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</si>
  <si>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</si>
  <si>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</si>
  <si>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</si>
  <si>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</si>
  <si>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</si>
  <si>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</si>
  <si>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</si>
  <si>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</si>
  <si>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</si>
  <si>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</si>
  <si>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</si>
  <si>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</si>
  <si>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</si>
  <si>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</si>
  <si>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</si>
  <si>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</si>
  <si>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</si>
  <si>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</si>
  <si>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</si>
  <si>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</si>
  <si>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</si>
  <si>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</si>
  <si>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</si>
  <si>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</si>
  <si>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</si>
  <si>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</si>
  <si>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</si>
  <si>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</si>
  <si>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</si>
  <si>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</si>
  <si>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</si>
  <si>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</si>
  <si>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</si>
  <si>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</si>
  <si>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</si>
  <si>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</si>
  <si>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</si>
  <si>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</si>
  <si>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</si>
  <si>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</si>
  <si>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</si>
  <si>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</si>
  <si>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</si>
  <si>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</si>
  <si>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</si>
  <si>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</si>
  <si>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</si>
  <si>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</si>
  <si>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</si>
  <si>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</si>
  <si>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</si>
  <si>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</si>
  <si>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</si>
  <si>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</si>
  <si>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</si>
  <si>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</si>
  <si>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</si>
  <si>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</si>
  <si>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</si>
  <si>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</si>
  <si>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</si>
  <si>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</si>
  <si>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</si>
  <si>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</si>
  <si>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</si>
  <si>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</si>
  <si>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</si>
  <si>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</si>
  <si>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</si>
  <si>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</si>
  <si>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</si>
  <si>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</si>
  <si>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</si>
  <si>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</si>
  <si>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</si>
  <si>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</si>
  <si>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</si>
  <si>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</si>
  <si>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</si>
  <si>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</si>
  <si>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</si>
  <si>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</si>
  <si>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</si>
  <si>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</si>
  <si>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</si>
  <si>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</si>
  <si>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</si>
  <si>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</si>
  <si>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</si>
  <si>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</si>
  <si>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</si>
  <si>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</si>
  <si>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</si>
  <si>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</si>
  <si>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</si>
  <si>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</si>
  <si>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</si>
  <si>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</si>
  <si>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</si>
  <si>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</si>
  <si>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</si>
  <si>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</si>
  <si>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</si>
  <si>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</si>
  <si>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</si>
  <si>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</si>
  <si>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</si>
  <si>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</si>
  <si>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</si>
  <si>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</si>
  <si>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</si>
  <si>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</si>
  <si>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</si>
  <si>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</si>
  <si>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</si>
  <si>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</si>
  <si>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</si>
  <si>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</si>
  <si>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</si>
  <si>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</si>
  <si>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</si>
  <si>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</si>
  <si>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</si>
  <si>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</si>
  <si>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</si>
  <si>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</si>
  <si>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</si>
  <si>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</si>
  <si>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</si>
  <si>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</si>
  <si>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</si>
  <si>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</si>
  <si>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</si>
  <si>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</si>
  <si>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</si>
  <si>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</si>
  <si>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</si>
  <si>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</si>
  <si>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</si>
  <si>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</si>
  <si>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</si>
  <si>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</si>
  <si>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</si>
  <si>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</si>
  <si>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</si>
  <si>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</si>
  <si>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</si>
  <si>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</si>
  <si>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</si>
  <si>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</si>
  <si>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</si>
  <si>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</si>
  <si>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</si>
  <si>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</si>
  <si>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</si>
  <si>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</si>
  <si>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</si>
  <si>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</si>
  <si>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</si>
  <si>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</si>
  <si>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</si>
  <si>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</si>
  <si>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</si>
  <si>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</si>
  <si>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</si>
  <si>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</si>
  <si>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</si>
  <si>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</si>
  <si>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</si>
  <si>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</si>
  <si>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</si>
  <si>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</si>
  <si>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</si>
  <si>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</si>
  <si>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</si>
  <si>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</si>
  <si>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</si>
  <si>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</si>
  <si>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</si>
  <si>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</si>
  <si>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</si>
  <si>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</si>
  <si>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</si>
  <si>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</si>
  <si>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</si>
  <si>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</si>
  <si>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</si>
  <si>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</si>
  <si>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</si>
  <si>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</si>
  <si>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</si>
  <si>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</si>
  <si>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</si>
  <si>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</si>
  <si>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</si>
  <si>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</si>
  <si>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</si>
  <si>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</si>
  <si>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</si>
  <si>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</si>
  <si>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</si>
  <si>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</si>
  <si>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</si>
  <si>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</si>
  <si>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</si>
  <si>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</si>
  <si>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</si>
  <si>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</si>
  <si>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</si>
  <si>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</si>
  <si>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</si>
  <si>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</si>
  <si>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</si>
  <si>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</si>
  <si>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</si>
  <si>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</si>
  <si>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</si>
  <si>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</si>
  <si>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</si>
  <si>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</si>
  <si>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</si>
  <si>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</si>
  <si>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</si>
  <si>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</si>
  <si>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</si>
  <si>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</si>
  <si>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</si>
  <si>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</si>
  <si>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</si>
  <si>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</si>
  <si>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</si>
  <si>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</si>
  <si>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</si>
  <si>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</si>
  <si>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</si>
  <si>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</si>
  <si>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</si>
  <si>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</si>
  <si>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</si>
  <si>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</si>
  <si>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</si>
  <si>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</si>
  <si>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</si>
  <si>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</si>
  <si>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</si>
  <si>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</si>
  <si>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</si>
  <si>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</si>
  <si>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</si>
  <si>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</si>
  <si>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</si>
  <si>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</si>
  <si>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</si>
  <si>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</si>
  <si>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</si>
  <si>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</si>
  <si>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</si>
  <si>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</si>
  <si>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</si>
  <si>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</si>
  <si>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</si>
  <si>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</si>
  <si>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</si>
  <si>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</si>
  <si>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</si>
  <si>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</si>
  <si>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</si>
  <si>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</si>
  <si>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</si>
  <si>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</si>
  <si>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</si>
  <si>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</si>
  <si>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</si>
  <si>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</si>
  <si>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</si>
  <si>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</si>
  <si>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</si>
  <si>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</si>
  <si>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</si>
  <si>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</si>
  <si>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</si>
  <si>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</si>
  <si>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</si>
  <si>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</si>
  <si>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</si>
  <si>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</si>
  <si>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</si>
  <si>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</si>
  <si>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</si>
  <si>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</si>
  <si>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</si>
  <si>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</si>
  <si>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</si>
  <si>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</si>
  <si>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</si>
  <si>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</si>
  <si>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</si>
  <si>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</si>
  <si>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</si>
  <si>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</si>
  <si>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</si>
  <si>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</si>
  <si>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</si>
  <si>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</si>
  <si>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</si>
  <si>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</si>
  <si>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</si>
  <si>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</si>
  <si>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</si>
  <si>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</si>
  <si>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</si>
  <si>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</si>
  <si>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</si>
  <si>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</si>
  <si>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</si>
  <si>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</si>
  <si>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</si>
  <si>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</si>
  <si>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</si>
  <si>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</si>
  <si>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</si>
  <si>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</si>
  <si>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</si>
  <si>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</si>
  <si>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</si>
  <si>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</si>
  <si>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</si>
  <si>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</si>
  <si>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</si>
  <si>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</si>
  <si>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</si>
  <si>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</si>
  <si>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</si>
  <si>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</si>
  <si>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</si>
  <si>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</si>
  <si>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</si>
  <si>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</si>
  <si>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</si>
  <si>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</si>
  <si>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</si>
  <si>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</si>
  <si>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</si>
  <si>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</si>
  <si>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</si>
  <si>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</si>
  <si>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</si>
  <si>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</si>
  <si>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</si>
  <si>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</si>
  <si>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</si>
  <si>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</si>
  <si>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</si>
  <si>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</si>
  <si>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</si>
  <si>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</si>
  <si>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</si>
  <si>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</si>
  <si>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</si>
  <si>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</si>
  <si>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</si>
  <si>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</si>
  <si>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</si>
  <si>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</si>
  <si>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</si>
  <si>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</si>
  <si>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</si>
  <si>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</si>
  <si>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</si>
  <si>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</si>
  <si>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</si>
  <si>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</si>
  <si>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</si>
  <si>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</si>
  <si>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</si>
  <si>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</si>
  <si>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</si>
  <si>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</si>
  <si>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</si>
  <si>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</si>
  <si>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</si>
  <si>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</si>
  <si>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</si>
  <si>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</si>
  <si>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</si>
  <si>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</si>
  <si>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</si>
  <si>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</si>
  <si>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</si>
  <si>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</si>
  <si>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</si>
  <si>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</si>
  <si>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</si>
  <si>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</si>
  <si>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</si>
  <si>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</si>
  <si>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</si>
  <si>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</si>
  <si>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</si>
  <si>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</si>
  <si>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</si>
  <si>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</si>
  <si>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</si>
  <si>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</si>
  <si>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</si>
  <si>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</si>
  <si>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</si>
  <si>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</si>
  <si>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</si>
  <si>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</si>
  <si>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</si>
  <si>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</si>
  <si>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</si>
  <si>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</si>
  <si>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</si>
  <si>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</si>
  <si>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</si>
  <si>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</si>
  <si>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</si>
  <si>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</si>
  <si>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</si>
  <si>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</si>
  <si>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</si>
  <si>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</si>
  <si>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</si>
  <si>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</si>
  <si>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</si>
  <si>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</si>
  <si>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</si>
  <si>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</si>
  <si>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</si>
  <si>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</si>
  <si>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</si>
  <si>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</si>
  <si>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</si>
  <si>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</si>
  <si>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</si>
  <si>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</si>
  <si>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</si>
  <si>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</si>
  <si>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</si>
  <si>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</si>
  <si>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</si>
  <si>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</si>
  <si>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</si>
  <si>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</si>
  <si>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</si>
  <si>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</si>
  <si>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</si>
  <si>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</si>
  <si>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</si>
  <si>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</si>
  <si>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</si>
  <si>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</si>
  <si>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</si>
  <si>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</si>
  <si>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</si>
  <si>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</si>
  <si>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</si>
  <si>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</si>
  <si>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</si>
  <si>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</si>
  <si>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</si>
  <si>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</si>
  <si>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</si>
  <si>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</si>
  <si>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</si>
  <si>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</si>
  <si>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</si>
  <si>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</si>
  <si>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</si>
  <si>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</si>
  <si>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</si>
  <si>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</si>
  <si>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</si>
  <si>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</si>
  <si>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</si>
  <si>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</si>
  <si>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</si>
  <si>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</si>
  <si>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</si>
  <si>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</si>
  <si>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</si>
  <si>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</si>
  <si>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</si>
  <si>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</si>
  <si>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</si>
  <si>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</si>
  <si>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</si>
  <si>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</si>
  <si>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</si>
  <si>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</si>
  <si>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</si>
  <si>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</si>
  <si>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</si>
  <si>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</si>
  <si>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</si>
  <si>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</si>
  <si>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</si>
  <si>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</si>
  <si>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</si>
  <si>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</si>
  <si>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</si>
  <si>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</si>
  <si>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</si>
  <si>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</si>
  <si>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</si>
  <si>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</si>
  <si>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</si>
  <si>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</si>
  <si>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</si>
  <si>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</si>
  <si>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</si>
  <si>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</si>
  <si>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</si>
  <si>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</si>
  <si>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</si>
  <si>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</si>
  <si>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</si>
  <si>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</si>
  <si>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</si>
  <si>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</si>
  <si>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</si>
  <si>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</si>
  <si>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</si>
  <si>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</si>
  <si>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</si>
  <si>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</si>
  <si>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</si>
  <si>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</si>
  <si>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</si>
  <si>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</si>
  <si>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</si>
  <si>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</si>
  <si>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</si>
  <si>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</si>
  <si>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</si>
  <si>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</si>
  <si>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</si>
  <si>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</si>
  <si>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</si>
  <si>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</si>
  <si>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</si>
  <si>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</si>
  <si>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</si>
  <si>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</si>
  <si>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</si>
  <si>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</si>
  <si>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</si>
  <si>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</si>
  <si>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</si>
  <si>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</si>
  <si>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</si>
  <si>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</si>
  <si>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</si>
  <si>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</si>
  <si>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</si>
  <si>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</si>
  <si>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</si>
  <si>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</si>
  <si>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</si>
  <si>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</si>
  <si>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</si>
  <si>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</si>
  <si>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</si>
  <si>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</si>
  <si>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</si>
  <si>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</si>
  <si>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</si>
  <si>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</si>
  <si>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</si>
  <si>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</si>
  <si>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</si>
  <si>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</si>
  <si>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</si>
  <si>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</si>
  <si>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</si>
  <si>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</si>
  <si>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</si>
  <si>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</si>
  <si>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</si>
  <si>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</si>
  <si>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</si>
  <si>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</si>
  <si>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</si>
  <si>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</si>
  <si>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</si>
  <si>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</si>
  <si>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</si>
  <si>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</si>
  <si>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</si>
  <si>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</si>
  <si>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</si>
  <si>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</si>
  <si>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</si>
  <si>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</si>
  <si>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</si>
  <si>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</si>
  <si>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</si>
  <si>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</si>
  <si>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</si>
  <si>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</si>
  <si>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</si>
  <si>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</si>
  <si>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</si>
  <si>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</si>
  <si>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</si>
  <si>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</si>
  <si>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</si>
  <si>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</si>
  <si>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</si>
  <si>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</si>
  <si>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</si>
  <si>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</si>
  <si>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</si>
  <si>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</si>
  <si>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</si>
  <si>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</si>
  <si>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</si>
  <si>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</si>
  <si>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</si>
  <si>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</si>
  <si>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</si>
  <si>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</si>
  <si>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</si>
  <si>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</si>
  <si>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</si>
  <si>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</si>
  <si>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</si>
  <si>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</si>
  <si>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</si>
  <si>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</si>
  <si>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</si>
  <si>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</si>
  <si>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</si>
  <si>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</si>
  <si>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</si>
  <si>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</si>
  <si>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</si>
  <si>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</si>
  <si>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</si>
  <si>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</si>
  <si>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</si>
  <si>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</si>
  <si>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</si>
  <si>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</si>
  <si>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</si>
  <si>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</si>
  <si>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</si>
  <si>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</si>
  <si>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</si>
  <si>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</si>
  <si>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</si>
  <si>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</si>
  <si>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</si>
  <si>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</si>
  <si>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</si>
  <si>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</si>
  <si>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</si>
  <si>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</si>
  <si>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</si>
  <si>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</si>
  <si>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</si>
  <si>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</si>
  <si>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</si>
  <si>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</si>
  <si>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</si>
  <si>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</si>
  <si>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</si>
  <si>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</si>
  <si>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</si>
  <si>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</si>
  <si>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</si>
  <si>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</si>
  <si>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</si>
  <si>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</si>
  <si>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</si>
  <si>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</si>
  <si>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</si>
  <si>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</si>
  <si>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</si>
  <si>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</si>
  <si>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</si>
  <si>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</si>
  <si>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</si>
  <si>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</si>
  <si>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</si>
  <si>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</si>
  <si>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</si>
  <si>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</si>
  <si>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</si>
  <si>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</si>
  <si>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</si>
  <si>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</si>
  <si>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</si>
  <si>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</si>
  <si>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</si>
  <si>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</si>
  <si>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</si>
  <si>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</si>
  <si>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</si>
  <si>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</si>
  <si>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</si>
  <si>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</si>
  <si>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</si>
  <si>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</si>
  <si>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</si>
  <si>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</si>
  <si>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</si>
  <si>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</si>
  <si>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</si>
  <si>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</si>
  <si>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</si>
  <si>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</si>
  <si>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</si>
  <si>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</si>
  <si>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</si>
  <si>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</si>
  <si>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</si>
  <si>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</si>
  <si>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</si>
  <si>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</si>
  <si>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</si>
  <si>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</si>
  <si>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</si>
  <si>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</si>
  <si>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</si>
  <si>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</si>
  <si>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</si>
  <si>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</si>
  <si>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</si>
  <si>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</si>
  <si>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</si>
  <si>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</si>
  <si>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</si>
  <si>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</si>
  <si>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</si>
  <si>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</si>
  <si>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</si>
  <si>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</si>
  <si>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</si>
  <si>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</si>
  <si>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</si>
  <si>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</si>
  <si>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</si>
  <si>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</si>
  <si>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</si>
  <si>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</si>
  <si>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</si>
  <si>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</si>
  <si>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</si>
  <si>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</si>
  <si>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</si>
  <si>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</si>
  <si>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</si>
  <si>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</si>
  <si>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</si>
  <si>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</si>
  <si>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</si>
  <si>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</si>
  <si>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</si>
  <si>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</si>
  <si>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</si>
  <si>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</si>
  <si>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</si>
  <si>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</si>
  <si>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</si>
  <si>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</si>
  <si>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</si>
  <si>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</si>
  <si>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</si>
  <si>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</si>
  <si>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</si>
  <si>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</si>
  <si>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</si>
  <si>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</si>
  <si>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</si>
  <si>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</si>
  <si>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</si>
  <si>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</si>
  <si>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</si>
  <si>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</si>
  <si>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</si>
  <si>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</si>
  <si>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</si>
  <si>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</si>
  <si>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</si>
  <si>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</si>
  <si>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</si>
  <si>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</si>
  <si>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</si>
  <si>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</si>
  <si>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</si>
  <si>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</si>
  <si>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</si>
  <si>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</si>
  <si>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</si>
  <si>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</si>
  <si>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</si>
  <si>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</si>
  <si>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</si>
  <si>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</si>
  <si>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</si>
  <si>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</si>
  <si>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</si>
  <si>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</si>
  <si>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</si>
  <si>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</si>
  <si>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</si>
  <si>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</si>
  <si>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</si>
  <si>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</si>
  <si>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</si>
  <si>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</si>
  <si>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</si>
  <si>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</si>
  <si>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</si>
  <si>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</si>
  <si>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</si>
  <si>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</si>
  <si>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</si>
  <si>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</si>
  <si>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</si>
  <si>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</si>
  <si>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</si>
  <si>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</si>
  <si>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</si>
  <si>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</si>
  <si>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</si>
  <si>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</si>
  <si>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</si>
  <si>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</si>
  <si>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</si>
  <si>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</si>
  <si>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</si>
  <si>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</si>
  <si>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</si>
  <si>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</si>
  <si>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</si>
  <si>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</si>
  <si>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</si>
  <si>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</si>
  <si>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</si>
  <si>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</si>
  <si>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</si>
  <si>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</si>
  <si>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</si>
  <si>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</si>
  <si>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</si>
  <si>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</si>
  <si>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</si>
  <si>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</si>
  <si>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</si>
  <si>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</si>
  <si>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</si>
  <si>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</si>
  <si>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</si>
  <si>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</si>
  <si>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</si>
  <si>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</si>
  <si>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</si>
  <si>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</si>
  <si>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</si>
  <si>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</si>
  <si>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</si>
  <si>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</si>
  <si>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</si>
  <si>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</si>
  <si>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</si>
  <si>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</si>
  <si>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</si>
  <si>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</si>
  <si>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</si>
  <si>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</si>
  <si>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</si>
  <si>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</si>
  <si>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</si>
  <si>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</si>
  <si>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</si>
  <si>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</si>
  <si>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</si>
  <si>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</si>
  <si>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</si>
  <si>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</si>
  <si>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</si>
  <si>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</si>
  <si>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</si>
  <si>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</si>
  <si>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</si>
  <si>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</si>
  <si>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</si>
  <si>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</si>
  <si>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</si>
  <si>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</si>
  <si>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</si>
  <si>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</si>
  <si>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</si>
  <si>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</si>
  <si>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</si>
  <si>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</si>
  <si>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</si>
  <si>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</si>
  <si>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</si>
  <si>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</si>
  <si>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</si>
  <si>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</si>
  <si>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</si>
  <si>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</si>
  <si>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</si>
  <si>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</si>
  <si>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</si>
  <si>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</si>
  <si>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</si>
  <si>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</si>
  <si>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</si>
  <si>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</si>
  <si>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</si>
  <si>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</si>
  <si>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</si>
  <si>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</si>
  <si>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</si>
  <si>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</si>
  <si>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</si>
  <si>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</si>
  <si>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</si>
  <si>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</si>
  <si>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</si>
  <si>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</si>
  <si>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</si>
  <si>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</si>
  <si>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</si>
  <si>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</si>
  <si>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</si>
  <si>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</si>
  <si>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</si>
  <si>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</si>
  <si>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</si>
  <si>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</si>
  <si>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</si>
  <si>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</si>
  <si>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</si>
  <si>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</si>
  <si>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</si>
  <si>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</si>
  <si>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</si>
  <si>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</si>
  <si>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</si>
  <si>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</si>
  <si>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</si>
  <si>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</si>
  <si>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</si>
  <si>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</si>
  <si>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</si>
  <si>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</si>
  <si>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</si>
  <si>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</si>
  <si>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</si>
  <si>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</si>
  <si>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</si>
  <si>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</si>
  <si>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</si>
  <si>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</si>
  <si>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</si>
  <si>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</si>
  <si>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</si>
  <si>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</si>
  <si>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</si>
  <si>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</si>
  <si>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</si>
  <si>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</si>
  <si>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</si>
  <si>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</si>
  <si>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</si>
  <si>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</si>
  <si>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</si>
  <si>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</si>
  <si>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</si>
  <si>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</si>
  <si>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</si>
  <si>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</si>
  <si>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</si>
  <si>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</si>
  <si>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</si>
  <si>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</si>
  <si>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</si>
  <si>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</si>
  <si>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</si>
  <si>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</si>
  <si>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</si>
  <si>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</si>
  <si>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</si>
  <si>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</si>
  <si>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</si>
  <si>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</si>
  <si>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</si>
  <si>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</si>
  <si>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</si>
  <si>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</si>
  <si>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</si>
  <si>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</si>
  <si>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</si>
  <si>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</si>
  <si>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</si>
  <si>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</si>
  <si>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</si>
  <si>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</si>
  <si>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</si>
  <si>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</si>
  <si>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</si>
  <si>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</si>
  <si>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</si>
  <si>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</si>
  <si>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</si>
  <si>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</si>
  <si>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</si>
  <si>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</si>
  <si>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</si>
  <si>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</si>
  <si>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</si>
  <si>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</si>
  <si>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</si>
  <si>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</si>
  <si>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</si>
  <si>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</si>
  <si>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</si>
  <si>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</si>
  <si>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</si>
  <si>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</si>
  <si>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</si>
  <si>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</si>
  <si>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</si>
  <si>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</si>
  <si>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</si>
  <si>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</si>
  <si>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</si>
  <si>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</si>
  <si>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</si>
  <si>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</si>
  <si>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</si>
  <si>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</si>
  <si>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</si>
  <si>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</si>
  <si>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</si>
  <si>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</si>
  <si>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</si>
  <si>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</si>
  <si>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</si>
  <si>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</si>
  <si>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</si>
  <si>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</si>
  <si>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</si>
  <si>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</si>
  <si>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</si>
  <si>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</si>
  <si>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</si>
  <si>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</si>
  <si>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</si>
  <si>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</si>
  <si>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</si>
  <si>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</si>
  <si>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</si>
  <si>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</si>
  <si>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</si>
  <si>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</si>
  <si>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</si>
  <si>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</si>
  <si>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</si>
  <si>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</si>
  <si>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</si>
  <si>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</si>
  <si>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</si>
  <si>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</si>
  <si>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</si>
  <si>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</si>
  <si>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</si>
  <si>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</si>
  <si>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</si>
  <si>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</si>
  <si>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</si>
  <si>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</si>
  <si>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</si>
  <si>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</si>
  <si>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</si>
  <si>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</si>
  <si>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</si>
  <si>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</si>
  <si>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</si>
  <si>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</si>
  <si>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</si>
  <si>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</si>
  <si>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</si>
  <si>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</si>
  <si>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</si>
  <si>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</si>
  <si>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</si>
  <si>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</si>
  <si>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</si>
  <si>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</si>
  <si>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</si>
  <si>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</si>
  <si>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</si>
  <si>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</si>
  <si>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</si>
  <si>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</si>
  <si>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</si>
  <si>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</si>
  <si>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</si>
  <si>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</si>
  <si>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</si>
  <si>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</si>
  <si>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</si>
  <si>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</si>
  <si>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</si>
  <si>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</si>
  <si>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</si>
  <si>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</si>
  <si>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</si>
  <si>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</si>
  <si>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</si>
  <si>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</si>
  <si>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</si>
  <si>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</si>
  <si>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</si>
  <si>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</si>
  <si>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</si>
  <si>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</si>
  <si>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</si>
  <si>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</si>
  <si>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</si>
  <si>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</si>
  <si>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</si>
  <si>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</si>
  <si>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</si>
  <si>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</si>
  <si>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</si>
  <si>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</si>
  <si>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</si>
  <si>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</si>
  <si>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</si>
  <si>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</si>
  <si>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</si>
  <si>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</si>
  <si>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</si>
  <si>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</si>
  <si>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</si>
  <si>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</si>
  <si>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</si>
  <si>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</si>
  <si>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</si>
  <si>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</si>
  <si>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</si>
  <si>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</si>
  <si>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</si>
  <si>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</si>
  <si>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</si>
  <si>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</si>
  <si>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</si>
  <si>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</si>
  <si>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</si>
  <si>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</si>
  <si>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</si>
  <si>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</si>
  <si>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</si>
  <si>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</si>
  <si>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</si>
  <si>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</si>
  <si>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</si>
  <si>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</si>
  <si>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</si>
  <si>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</si>
  <si>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</si>
  <si>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</si>
  <si>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</si>
  <si>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</si>
  <si>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</si>
  <si>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</si>
  <si>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</si>
  <si>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</si>
  <si>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</si>
  <si>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</si>
  <si>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</si>
  <si>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</si>
  <si>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</si>
  <si>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</si>
  <si>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</si>
  <si>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</si>
  <si>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</si>
  <si>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</si>
  <si>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</si>
  <si>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</si>
  <si>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</si>
  <si>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</si>
  <si>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</si>
  <si>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</si>
  <si>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</si>
  <si>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</si>
  <si>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</si>
  <si>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</si>
  <si>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</si>
  <si>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</si>
  <si>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</si>
  <si>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</si>
  <si>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</si>
  <si>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</si>
  <si>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</si>
  <si>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</si>
  <si>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</si>
  <si>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</si>
  <si>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</si>
  <si>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</si>
  <si>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</si>
  <si>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</si>
  <si>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</si>
  <si>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</si>
  <si>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</si>
  <si>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</si>
  <si>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</si>
  <si>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</si>
  <si>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</si>
  <si>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</si>
  <si>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</si>
  <si>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</si>
  <si>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</si>
  <si>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</si>
  <si>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</si>
  <si>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</si>
  <si>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</si>
  <si>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</si>
  <si>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</si>
  <si>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</si>
  <si>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</si>
  <si>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</si>
  <si>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</si>
  <si>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</si>
  <si>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</si>
  <si>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</si>
  <si>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</si>
  <si>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</si>
  <si>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</si>
  <si>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</si>
  <si>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</si>
  <si>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</si>
  <si>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</si>
  <si>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</si>
  <si>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</si>
  <si>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</si>
  <si>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</si>
  <si>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</si>
  <si>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</si>
  <si>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</si>
  <si>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</si>
  <si>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</si>
  <si>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</si>
  <si>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</si>
  <si>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</si>
  <si>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</si>
  <si>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</si>
  <si>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</si>
  <si>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</si>
  <si>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</si>
  <si>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</si>
  <si>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</si>
  <si>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</si>
  <si>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</si>
  <si>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</si>
  <si>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</si>
  <si>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</si>
  <si>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</si>
  <si>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</si>
  <si>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</si>
  <si>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</si>
  <si>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</si>
  <si>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</si>
  <si>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</si>
  <si>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</si>
  <si>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</si>
  <si>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</si>
  <si>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</si>
  <si>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</si>
  <si>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</si>
  <si>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</si>
  <si>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</si>
  <si>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</si>
  <si>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</si>
  <si>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</si>
  <si>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</si>
  <si>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</si>
  <si>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</si>
  <si>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</si>
  <si>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</si>
  <si>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</si>
  <si>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</si>
  <si>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</si>
  <si>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</si>
  <si>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</si>
  <si>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</si>
  <si>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</si>
  <si>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</si>
  <si>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</si>
  <si>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</si>
  <si>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</si>
  <si>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</si>
  <si>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</si>
  <si>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</si>
  <si>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</si>
  <si>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</si>
  <si>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</si>
  <si>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</si>
  <si>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</si>
  <si>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</si>
  <si>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</si>
  <si>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</si>
  <si>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</si>
  <si>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</si>
  <si>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</si>
  <si>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</si>
  <si>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</si>
  <si>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</si>
  <si>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</si>
  <si>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</si>
  <si>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</si>
  <si>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</si>
  <si>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</si>
  <si>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</si>
  <si>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</si>
  <si>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</si>
  <si>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</si>
  <si>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</si>
  <si>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</si>
  <si>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</si>
  <si>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</si>
  <si>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</si>
  <si>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</si>
  <si>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</si>
  <si>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</si>
  <si>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</si>
  <si>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</si>
  <si>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</si>
  <si>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</si>
  <si>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</si>
  <si>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</si>
  <si>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</si>
  <si>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</si>
  <si>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</si>
  <si>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</si>
  <si>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</si>
  <si>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</si>
  <si>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</si>
  <si>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</si>
  <si>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</si>
  <si>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</si>
  <si>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</si>
  <si>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</si>
  <si>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</si>
  <si>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</si>
  <si>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</si>
  <si>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</si>
  <si>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</si>
  <si>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</si>
  <si>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</si>
  <si>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</si>
  <si>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</si>
  <si>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</si>
  <si>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</si>
  <si>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</si>
  <si>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</si>
  <si>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</si>
  <si>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</si>
  <si>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</si>
  <si>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</si>
  <si>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</si>
  <si>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</si>
  <si>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</si>
  <si>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</si>
  <si>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</si>
  <si>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</si>
  <si>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</si>
  <si>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</si>
  <si>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</si>
  <si>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</si>
  <si>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</si>
  <si>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</si>
  <si>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</si>
  <si>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</si>
  <si>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</si>
  <si>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</si>
  <si>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</si>
  <si>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</si>
  <si>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</si>
  <si>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</si>
  <si>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</si>
  <si>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</si>
  <si>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</si>
  <si>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</si>
  <si>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</si>
  <si>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</si>
  <si>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</si>
  <si>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</si>
  <si>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</si>
  <si>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</si>
  <si>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</si>
  <si>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</si>
  <si>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</si>
  <si>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</si>
  <si>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</si>
  <si>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</si>
  <si>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</si>
  <si>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</si>
  <si>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</si>
  <si>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</si>
  <si>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</si>
  <si>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</si>
  <si>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</si>
  <si>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</si>
  <si>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</si>
  <si>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</si>
  <si>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</si>
  <si>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</si>
  <si>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</si>
  <si>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</si>
  <si>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</si>
  <si>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</si>
  <si>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</si>
  <si>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</si>
  <si>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</si>
  <si>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</si>
  <si>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</si>
  <si>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</si>
  <si>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</si>
  <si>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</si>
  <si>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</si>
  <si>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</si>
  <si>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</si>
  <si>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</si>
  <si>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</si>
  <si>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</si>
  <si>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</si>
  <si>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</si>
  <si>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</si>
  <si>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</si>
  <si>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</si>
  <si>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</si>
  <si>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</si>
  <si>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</si>
  <si>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</si>
  <si>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</si>
  <si>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</si>
  <si>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</si>
  <si>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</si>
  <si>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</si>
  <si>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</si>
  <si>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</si>
  <si>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</si>
  <si>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</si>
  <si>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</si>
  <si>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</si>
  <si>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</si>
  <si>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</si>
  <si>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</si>
  <si>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</si>
  <si>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</si>
  <si>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</si>
  <si>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</si>
  <si>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</si>
  <si>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</si>
  <si>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</si>
  <si>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</si>
  <si>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</si>
  <si>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</si>
  <si>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</si>
  <si>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</si>
  <si>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</si>
  <si>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</si>
  <si>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</si>
  <si>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</si>
  <si>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</si>
  <si>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</si>
  <si>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</si>
  <si>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</si>
  <si>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</si>
  <si>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</si>
  <si>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</si>
  <si>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</si>
  <si>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</si>
  <si>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</si>
  <si>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</si>
  <si>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</si>
  <si>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</si>
  <si>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</si>
  <si>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</si>
  <si>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</si>
  <si>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</si>
  <si>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</si>
  <si>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</si>
  <si>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</si>
  <si>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</si>
  <si>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</si>
  <si>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</si>
  <si>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</si>
  <si>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</si>
  <si>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</si>
  <si>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</si>
  <si>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</si>
  <si>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</si>
  <si>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</si>
  <si>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</si>
  <si>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</si>
  <si>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</si>
  <si>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</si>
  <si>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</si>
  <si>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</si>
  <si>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</si>
  <si>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</si>
  <si>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</si>
  <si>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</si>
  <si>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</si>
  <si>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</si>
  <si>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</si>
  <si>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</si>
  <si>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</si>
  <si>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</si>
  <si>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</si>
  <si>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</si>
  <si>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</si>
  <si>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</si>
  <si>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</si>
  <si>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</si>
  <si>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</si>
  <si>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</si>
  <si>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</si>
  <si>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</si>
  <si>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</si>
  <si>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</si>
  <si>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</si>
  <si>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</si>
  <si>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</si>
  <si>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</si>
  <si>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</si>
  <si>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</si>
  <si>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</si>
  <si>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</si>
  <si>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</si>
  <si>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</si>
  <si>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</si>
  <si>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</si>
  <si>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</si>
  <si>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</si>
  <si>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</si>
  <si>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</si>
  <si>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</si>
  <si>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</si>
  <si>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</si>
  <si>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</si>
  <si>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</si>
  <si>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</si>
  <si>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</si>
  <si>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</si>
  <si>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</si>
  <si>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</si>
  <si>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</si>
  <si>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</si>
  <si>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</si>
  <si>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</si>
  <si>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</si>
  <si>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</si>
  <si>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</si>
  <si>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</si>
  <si>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</si>
  <si>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</si>
  <si>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</si>
  <si>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</si>
  <si>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</si>
  <si>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</si>
  <si>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</si>
  <si>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</si>
  <si>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</si>
  <si>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</si>
  <si>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</si>
  <si>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</si>
  <si>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</si>
  <si>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</si>
  <si>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</si>
  <si>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</si>
  <si>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</si>
  <si>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</si>
  <si>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</si>
  <si>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</si>
  <si>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</si>
  <si>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</si>
  <si>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</si>
  <si>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</si>
  <si>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</si>
  <si>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</si>
  <si>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</si>
  <si>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</si>
  <si>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</si>
  <si>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</si>
  <si>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</si>
  <si>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</si>
  <si>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</si>
  <si>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</si>
  <si>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</si>
  <si>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</si>
  <si>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</si>
  <si>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</si>
  <si>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</si>
  <si>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</si>
  <si>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</si>
  <si>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</si>
  <si>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</si>
  <si>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</si>
  <si>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</si>
  <si>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</si>
  <si>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</si>
  <si>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</si>
  <si>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</si>
  <si>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</si>
  <si>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</si>
  <si>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</si>
  <si>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</si>
  <si>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</si>
  <si>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</si>
  <si>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</si>
  <si>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</si>
  <si>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</si>
  <si>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</si>
  <si>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</si>
  <si>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</si>
  <si>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</si>
  <si>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</si>
  <si>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</si>
  <si>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</si>
  <si>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</si>
  <si>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</si>
  <si>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</si>
  <si>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</si>
  <si>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</si>
  <si>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</si>
  <si>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</si>
  <si>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</si>
  <si>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</si>
  <si>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</si>
  <si>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</si>
  <si>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</si>
  <si>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</si>
  <si>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</si>
  <si>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</si>
  <si>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</si>
  <si>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</si>
  <si>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</si>
  <si>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</si>
  <si>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</si>
  <si>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</si>
  <si>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</si>
  <si>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</si>
  <si>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</si>
  <si>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</si>
  <si>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</si>
  <si>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</si>
  <si>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</si>
  <si>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</si>
  <si>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</si>
  <si>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</si>
  <si>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</si>
  <si>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</si>
  <si>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</si>
  <si>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</si>
  <si>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</si>
  <si>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</si>
  <si>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</si>
  <si>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</si>
  <si>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</si>
  <si>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</si>
  <si>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</si>
  <si>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</si>
  <si>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</si>
  <si>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</si>
  <si>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</si>
  <si>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</si>
  <si>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</si>
  <si>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</si>
  <si>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</si>
  <si>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</si>
  <si>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</si>
  <si>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</si>
  <si>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</si>
  <si>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</si>
  <si>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</si>
  <si>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</si>
  <si>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</si>
  <si>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</si>
  <si>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</si>
  <si>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</si>
  <si>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</si>
  <si>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</si>
  <si>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</si>
  <si>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</si>
  <si>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</si>
  <si>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</si>
  <si>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</si>
  <si>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</si>
  <si>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</si>
  <si>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</si>
  <si>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</si>
  <si>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</si>
  <si>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</si>
  <si>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</si>
  <si>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</si>
  <si>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</si>
  <si>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</si>
  <si>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</si>
  <si>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</si>
  <si>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</si>
  <si>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</si>
  <si>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</si>
  <si>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</si>
  <si>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</si>
  <si>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</si>
  <si>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</si>
  <si>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</si>
  <si>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</si>
  <si>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</si>
  <si>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</si>
  <si>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</si>
  <si>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</si>
  <si>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</si>
  <si>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</si>
  <si>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</si>
  <si>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</si>
  <si>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</si>
  <si>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</si>
  <si>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</si>
  <si>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</si>
  <si>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</si>
  <si>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</si>
  <si>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</si>
  <si>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</si>
  <si>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</si>
  <si>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</si>
  <si>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</si>
  <si>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</si>
  <si>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</si>
  <si>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</si>
  <si>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</si>
  <si>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</si>
  <si>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</si>
  <si>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</si>
  <si>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</si>
  <si>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</si>
  <si>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</si>
  <si>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</si>
  <si>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</si>
  <si>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</si>
  <si>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</si>
  <si>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</si>
  <si>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</si>
  <si>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</si>
  <si>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</si>
  <si>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</si>
  <si>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</si>
  <si>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</si>
  <si>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</si>
  <si>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</si>
  <si>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</si>
  <si>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</si>
  <si>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</si>
  <si>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</si>
  <si>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</si>
  <si>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</si>
  <si>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</si>
  <si>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</si>
  <si>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</si>
  <si>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</si>
  <si>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</si>
  <si>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</si>
  <si>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</si>
  <si>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</si>
  <si>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</si>
  <si>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</si>
  <si>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</si>
  <si>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</si>
  <si>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</si>
  <si>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</si>
  <si>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</si>
  <si>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</si>
  <si>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</si>
  <si>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</si>
  <si>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</si>
  <si>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</si>
  <si>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</si>
  <si>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</si>
  <si>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</si>
  <si>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</si>
  <si>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</si>
  <si>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</si>
  <si>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</si>
  <si>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</si>
  <si>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</si>
  <si>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</si>
  <si>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</si>
  <si>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</si>
  <si>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</si>
  <si>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</si>
  <si>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</si>
  <si>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</si>
  <si>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</si>
  <si>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</si>
  <si>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</si>
  <si>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</si>
  <si>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</si>
  <si>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</si>
  <si>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</si>
  <si>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</si>
  <si>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</si>
  <si>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</si>
  <si>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</si>
  <si>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</si>
  <si>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</si>
  <si>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</si>
  <si>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</si>
  <si>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</si>
  <si>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</si>
  <si>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</si>
  <si>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</si>
  <si>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</si>
  <si>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</si>
  <si>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</si>
  <si>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</si>
  <si>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</si>
  <si>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</si>
  <si>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</si>
  <si>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</si>
  <si>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</si>
  <si>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</si>
  <si>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</si>
  <si>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</si>
  <si>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</si>
  <si>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</si>
  <si>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</si>
  <si>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</si>
  <si>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</si>
  <si>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</si>
  <si>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</si>
  <si>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</si>
  <si>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</si>
  <si>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</si>
  <si>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</si>
  <si>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</si>
  <si>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</si>
  <si>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</si>
  <si>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</si>
  <si>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</si>
  <si>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</si>
  <si>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</si>
  <si>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</si>
  <si>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</si>
  <si>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</si>
  <si>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</si>
  <si>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</si>
  <si>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</si>
  <si>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</si>
  <si>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</si>
  <si>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</si>
  <si>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</si>
  <si>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</si>
  <si>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</si>
  <si>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</si>
  <si>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</si>
  <si>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</si>
  <si>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</si>
  <si>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</si>
  <si>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</si>
  <si>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</si>
  <si>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</si>
  <si>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</si>
  <si>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</si>
  <si>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</si>
  <si>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</si>
  <si>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</si>
  <si>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</si>
  <si>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</si>
  <si>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</si>
  <si>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</si>
  <si>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</si>
  <si>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</si>
  <si>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</si>
  <si>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</si>
  <si>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</si>
  <si>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</si>
  <si>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</si>
  <si>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</si>
  <si>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</si>
  <si>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</si>
  <si>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</si>
  <si>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</si>
  <si>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</si>
  <si>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</si>
  <si>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</si>
  <si>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</si>
  <si>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</si>
  <si>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</si>
  <si>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</si>
  <si>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</si>
  <si>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</si>
  <si>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</si>
  <si>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</si>
  <si>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</si>
  <si>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</si>
  <si>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</si>
  <si>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</si>
  <si>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</si>
  <si>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</si>
  <si>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</si>
  <si>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</si>
  <si>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</si>
  <si>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</si>
  <si>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</si>
  <si>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</si>
  <si>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</si>
  <si>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</si>
  <si>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</si>
  <si>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</si>
  <si>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</si>
  <si>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</si>
  <si>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</si>
  <si>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</si>
  <si>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</si>
  <si>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</si>
  <si>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</si>
  <si>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</si>
  <si>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</si>
  <si>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</si>
  <si>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</si>
  <si>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</si>
  <si>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</si>
  <si>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</si>
  <si>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</si>
  <si>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</si>
  <si>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</si>
  <si>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</si>
  <si>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</si>
  <si>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</si>
  <si>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</si>
  <si>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</si>
  <si>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</si>
  <si>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</si>
  <si>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</si>
  <si>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</si>
  <si>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</si>
  <si>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</si>
  <si>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</si>
  <si>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</si>
  <si>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</si>
  <si>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</si>
  <si>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</si>
  <si>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</si>
  <si>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</si>
  <si>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</si>
  <si>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</si>
  <si>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</si>
  <si>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</si>
  <si>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</si>
  <si>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</si>
  <si>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</si>
  <si>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</si>
  <si>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</si>
  <si>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</si>
  <si>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</si>
  <si>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</si>
  <si>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</si>
  <si>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</si>
  <si>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</si>
  <si>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</si>
  <si>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</si>
  <si>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</si>
  <si>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</si>
  <si>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</si>
  <si>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</si>
  <si>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</si>
  <si>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</si>
  <si>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</si>
  <si>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</si>
  <si>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</si>
  <si>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</si>
  <si>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</si>
  <si>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</si>
  <si>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</si>
  <si>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</si>
  <si>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</si>
  <si>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</si>
  <si>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</si>
  <si>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</si>
  <si>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</si>
  <si>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</si>
  <si>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</si>
  <si>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</si>
  <si>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</si>
  <si>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</si>
  <si>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</si>
  <si>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</si>
  <si>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</si>
  <si>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</si>
  <si>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</si>
  <si>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</si>
  <si>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</si>
  <si>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</si>
  <si>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</si>
  <si>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</si>
  <si>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</si>
  <si>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</si>
  <si>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</si>
  <si>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</si>
  <si>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</si>
  <si>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</si>
  <si>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</si>
  <si>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</si>
  <si>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</si>
  <si>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</si>
  <si>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</si>
  <si>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</si>
  <si>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</si>
  <si>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</si>
  <si>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</si>
  <si>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</si>
  <si>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</si>
  <si>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</si>
  <si>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</si>
  <si>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</si>
  <si>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</si>
  <si>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</si>
  <si>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</si>
  <si>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</si>
  <si>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</si>
  <si>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</si>
  <si>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</si>
  <si>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</si>
  <si>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</si>
  <si>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</si>
  <si>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</si>
  <si>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</si>
  <si>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</si>
  <si>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</si>
  <si>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</si>
  <si>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</si>
  <si>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</si>
  <si>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</si>
  <si>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</si>
  <si>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</si>
  <si>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</si>
  <si>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</si>
  <si>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</si>
  <si>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</si>
  <si>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</si>
  <si>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</si>
  <si>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</si>
  <si>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</si>
  <si>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</si>
  <si>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</si>
  <si>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</si>
  <si>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</si>
  <si>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</si>
  <si>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</si>
  <si>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</si>
  <si>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</si>
  <si>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</si>
  <si>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</si>
  <si>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</si>
  <si>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</si>
  <si>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</si>
  <si>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</si>
  <si>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</si>
  <si>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</si>
  <si>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</si>
  <si>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</si>
  <si>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</si>
  <si>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</si>
  <si>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</si>
  <si>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</si>
  <si>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</si>
  <si>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</si>
  <si>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</si>
  <si>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</si>
  <si>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</si>
  <si>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</si>
  <si>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</si>
  <si>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</si>
  <si>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</si>
  <si>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</si>
  <si>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</si>
  <si>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</si>
  <si>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</si>
  <si>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</si>
  <si>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</si>
  <si>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</si>
  <si>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</si>
  <si>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</si>
  <si>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</si>
  <si>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</si>
  <si>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</si>
  <si>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</si>
  <si>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</si>
  <si>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</si>
  <si>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</si>
  <si>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</si>
  <si>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</si>
  <si>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</si>
  <si>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</si>
  <si>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</si>
  <si>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</si>
  <si>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</si>
  <si>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</si>
  <si>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</si>
  <si>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</si>
  <si>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</si>
  <si>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</si>
  <si>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</si>
  <si>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</si>
  <si>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</si>
  <si>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</si>
  <si>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</si>
  <si>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</si>
  <si>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</si>
  <si>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</si>
  <si>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</si>
  <si>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</si>
  <si>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</si>
  <si>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</si>
  <si>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</si>
  <si>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</si>
  <si>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</si>
  <si>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</si>
  <si>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</si>
  <si>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</si>
  <si>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</si>
  <si>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</si>
  <si>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</si>
  <si>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</si>
  <si>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</si>
  <si>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</si>
  <si>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</si>
  <si>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</si>
  <si>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</si>
  <si>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</si>
  <si>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</si>
  <si>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</si>
  <si>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</si>
  <si>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</si>
  <si>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</si>
  <si>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</si>
  <si>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</si>
  <si>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</si>
  <si>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</si>
  <si>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</si>
  <si>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</si>
  <si>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</si>
  <si>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</si>
  <si>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</si>
  <si>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</si>
  <si>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</si>
  <si>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</si>
  <si>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</si>
  <si>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</si>
  <si>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</si>
  <si>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</si>
  <si>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</si>
  <si>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</si>
  <si>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</si>
  <si>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</si>
  <si>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</si>
  <si>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</si>
  <si>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</si>
  <si>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</si>
  <si>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</si>
  <si>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</si>
  <si>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</si>
  <si>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</si>
  <si>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</si>
  <si>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</si>
  <si>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</si>
  <si>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</si>
  <si>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</si>
  <si>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</si>
  <si>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</si>
  <si>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</si>
  <si>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</si>
  <si>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</si>
  <si>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</si>
  <si>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</si>
  <si>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</si>
  <si>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</si>
  <si>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</si>
  <si>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</si>
  <si>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</si>
  <si>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</si>
  <si>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</si>
  <si>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</si>
  <si>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</si>
  <si>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</si>
  <si>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</si>
  <si>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</si>
  <si>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</si>
  <si>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</si>
  <si>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</si>
  <si>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</si>
  <si>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</si>
  <si>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</si>
  <si>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</si>
  <si>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</si>
  <si>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</si>
  <si>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</si>
  <si>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</si>
  <si>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</si>
  <si>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</si>
  <si>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</si>
  <si>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</si>
  <si>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</si>
  <si>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</si>
  <si>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</si>
  <si>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</si>
  <si>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</si>
  <si>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</si>
  <si>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</si>
  <si>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</si>
  <si>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</si>
  <si>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</si>
  <si>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</si>
  <si>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</si>
  <si>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</si>
  <si>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</si>
  <si>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</si>
  <si>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</si>
  <si>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</si>
  <si>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</si>
  <si>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</si>
  <si>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</si>
  <si>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</si>
  <si>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</si>
  <si>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</si>
  <si>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</si>
  <si>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</si>
  <si>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</si>
  <si>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</si>
  <si>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</si>
  <si>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</si>
  <si>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</si>
  <si>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</si>
  <si>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</si>
  <si>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</si>
  <si>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</si>
  <si>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</si>
  <si>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</si>
  <si>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</si>
  <si>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</si>
  <si>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</si>
  <si>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</si>
  <si>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</si>
  <si>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</si>
  <si>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</si>
  <si>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</si>
  <si>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</si>
  <si>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</si>
  <si>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</si>
  <si>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</si>
  <si>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</si>
  <si>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</si>
  <si>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</si>
  <si>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</si>
  <si>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</si>
  <si>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</si>
  <si>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</si>
  <si>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</si>
  <si>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</si>
  <si>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</si>
  <si>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</si>
  <si>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</si>
  <si>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</si>
  <si>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</si>
  <si>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</si>
  <si>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</si>
  <si>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</si>
  <si>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</si>
  <si>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</si>
  <si>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</si>
  <si>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</si>
  <si>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</si>
  <si>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</si>
  <si>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</si>
  <si>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</si>
  <si>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</si>
  <si>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</si>
  <si>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</si>
  <si>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</si>
  <si>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</si>
  <si>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</si>
  <si>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</si>
  <si>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</si>
  <si>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</si>
  <si>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</si>
  <si>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</si>
  <si>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</si>
  <si>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</si>
  <si>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</si>
  <si>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</si>
  <si>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</si>
  <si>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</si>
  <si>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</si>
  <si>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</si>
  <si>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</si>
  <si>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</si>
  <si>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</si>
  <si>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</si>
  <si>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</si>
  <si>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</si>
  <si>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</si>
  <si>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</si>
  <si>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</si>
  <si>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</si>
  <si>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</si>
  <si>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</si>
  <si>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</si>
  <si>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</si>
  <si>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</si>
  <si>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</si>
  <si>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</si>
  <si>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</si>
  <si>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</si>
  <si>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</si>
  <si>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</si>
  <si>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</si>
  <si>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</si>
  <si>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</si>
  <si>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</si>
  <si>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</si>
  <si>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</si>
  <si>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</si>
  <si>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</si>
  <si>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</si>
  <si>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</si>
  <si>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</si>
  <si>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</si>
  <si>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</si>
  <si>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</si>
  <si>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</si>
  <si>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</si>
  <si>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</si>
  <si>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</si>
  <si>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</si>
  <si>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</si>
  <si>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</si>
  <si>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</si>
  <si>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</si>
  <si>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</si>
  <si>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</si>
  <si>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</si>
  <si>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</si>
  <si>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</si>
  <si>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</si>
  <si>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</si>
  <si>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</si>
  <si>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</si>
  <si>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</si>
  <si>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</si>
  <si>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</si>
  <si>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</si>
  <si>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</si>
  <si>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</si>
  <si>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</si>
  <si>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</si>
  <si>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</si>
  <si>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</si>
  <si>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</si>
  <si>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</si>
  <si>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</si>
  <si>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</si>
  <si>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</si>
  <si>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</si>
  <si>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</si>
  <si>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</si>
  <si>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</si>
  <si>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</si>
  <si>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</si>
  <si>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</si>
  <si>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</si>
  <si>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</si>
  <si>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</si>
  <si>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</si>
  <si>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</si>
  <si>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</si>
  <si>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</si>
  <si>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</si>
  <si>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</si>
  <si>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</si>
  <si>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</si>
  <si>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</si>
  <si>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</si>
  <si>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</si>
  <si>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</si>
  <si>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</si>
  <si>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</si>
  <si>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</si>
  <si>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</si>
  <si>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</si>
  <si>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</si>
  <si>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</si>
  <si>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</si>
  <si>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</si>
  <si>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</si>
  <si>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</si>
  <si>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</si>
  <si>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</si>
  <si>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</si>
  <si>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</si>
  <si>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</si>
  <si>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</si>
  <si>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</si>
  <si>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</si>
  <si>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</si>
  <si>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</si>
  <si>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</si>
  <si>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</si>
  <si>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</si>
  <si>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</si>
  <si>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</si>
  <si>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</si>
  <si>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</si>
  <si>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</si>
  <si>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</si>
  <si>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</si>
  <si>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</si>
  <si>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</si>
  <si>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</si>
  <si>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</si>
  <si>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</si>
  <si>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</si>
  <si>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</si>
  <si>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</si>
  <si>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</si>
  <si>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</si>
  <si>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</si>
  <si>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</si>
  <si>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</si>
  <si>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</si>
  <si>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</si>
  <si>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</si>
  <si>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</si>
  <si>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</si>
  <si>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</si>
  <si>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</si>
  <si>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</si>
  <si>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</si>
  <si>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</si>
  <si>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</si>
  <si>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</si>
  <si>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</si>
  <si>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</si>
  <si>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</si>
  <si>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</si>
  <si>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</si>
  <si>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</si>
  <si>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</si>
  <si>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</si>
  <si>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</si>
  <si>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</si>
  <si>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</si>
  <si>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</si>
  <si>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</si>
  <si>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</si>
  <si>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</si>
  <si>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</si>
  <si>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</si>
  <si>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</si>
  <si>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</si>
  <si>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</si>
  <si>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</si>
  <si>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</si>
  <si>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</si>
  <si>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</si>
  <si>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</si>
  <si>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</si>
  <si>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</si>
  <si>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</si>
  <si>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</si>
  <si>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</si>
  <si>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</si>
  <si>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</si>
  <si>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</si>
  <si>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</si>
  <si>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</si>
  <si>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</si>
  <si>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</si>
  <si>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</si>
  <si>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</si>
  <si>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</si>
  <si>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</si>
  <si>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</si>
  <si>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</si>
  <si>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</si>
  <si>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</si>
  <si>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</si>
  <si>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</si>
  <si>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</si>
  <si>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</si>
  <si>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</si>
  <si>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</si>
  <si>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</si>
  <si>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</si>
  <si>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</si>
  <si>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</si>
  <si>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</si>
  <si>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</si>
  <si>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</si>
  <si>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</si>
  <si>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</si>
  <si>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</si>
  <si>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</si>
  <si>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</si>
  <si>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</si>
  <si>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</si>
  <si>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</si>
  <si>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</si>
  <si>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</si>
  <si>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</si>
  <si>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</si>
  <si>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</si>
  <si>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</si>
  <si>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</si>
  <si>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</si>
  <si>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</si>
  <si>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</si>
  <si>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</si>
  <si>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</si>
  <si>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</si>
  <si>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</si>
  <si>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</si>
  <si>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</si>
  <si>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</si>
  <si>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</si>
  <si>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</si>
  <si>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</si>
  <si>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</si>
  <si>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</si>
  <si>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</si>
  <si>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</si>
  <si>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</si>
  <si>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</si>
  <si>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</si>
  <si>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</si>
  <si>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</si>
  <si>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</si>
  <si>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</si>
  <si>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</si>
  <si>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</si>
  <si>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</si>
  <si>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</si>
  <si>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</si>
  <si>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</si>
  <si>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</si>
  <si>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</si>
  <si>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</si>
  <si>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</si>
  <si>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</si>
  <si>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</si>
  <si>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</si>
  <si>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</si>
  <si>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</si>
  <si>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</si>
  <si>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</si>
  <si>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</si>
  <si>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</si>
  <si>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</si>
  <si>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</si>
  <si>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</si>
  <si>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</si>
  <si>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</si>
  <si>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</si>
  <si>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</si>
  <si>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</si>
  <si>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</si>
  <si>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</si>
  <si>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</si>
  <si>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</si>
  <si>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</si>
  <si>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</si>
  <si>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</si>
  <si>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</si>
  <si>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</si>
  <si>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</si>
  <si>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</si>
  <si>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</si>
  <si>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</si>
  <si>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</si>
  <si>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</si>
  <si>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</si>
  <si>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</si>
  <si>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</si>
  <si>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</si>
  <si>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</si>
  <si>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</si>
  <si>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</si>
  <si>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</si>
  <si>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</si>
  <si>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</si>
  <si>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</si>
  <si>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</si>
  <si>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</si>
  <si>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</si>
  <si>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</si>
  <si>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</si>
  <si>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</si>
  <si>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</si>
  <si>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</si>
  <si>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</si>
  <si>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</si>
  <si>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</si>
  <si>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</si>
  <si>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</si>
  <si>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</si>
  <si>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</si>
  <si>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</si>
  <si>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</si>
  <si>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</si>
  <si>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</si>
  <si>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</si>
  <si>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</si>
  <si>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</si>
  <si>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</si>
  <si>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</si>
  <si>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</si>
  <si>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</si>
  <si>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</si>
  <si>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</si>
  <si>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</si>
  <si>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</si>
  <si>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</si>
  <si>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</si>
  <si>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</si>
  <si>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</si>
  <si>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</si>
  <si>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</si>
  <si>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</si>
  <si>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</si>
  <si>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</si>
  <si>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</si>
  <si>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</si>
  <si>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</si>
  <si>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</si>
  <si>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</si>
  <si>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</si>
  <si>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</si>
  <si>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</si>
  <si>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</si>
  <si>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</si>
  <si>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</si>
  <si>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</si>
  <si>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</si>
  <si>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</si>
  <si>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</si>
  <si>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</si>
  <si>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</si>
  <si>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</si>
  <si>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</si>
  <si>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</si>
  <si>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</si>
  <si>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</si>
  <si>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</si>
  <si>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</si>
  <si>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</si>
  <si>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</si>
  <si>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</si>
  <si>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</si>
  <si>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</si>
  <si>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</si>
  <si>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</si>
  <si>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</si>
  <si>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</si>
  <si>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</si>
  <si>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</si>
  <si>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</si>
  <si>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</si>
  <si>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</si>
  <si>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</si>
  <si>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</si>
  <si>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</si>
  <si>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</si>
  <si>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</si>
  <si>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</si>
  <si>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</si>
  <si>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</si>
  <si>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</si>
  <si>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</si>
  <si>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</si>
  <si>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</si>
  <si>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</si>
  <si>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</si>
  <si>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</si>
  <si>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</si>
  <si>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</si>
  <si>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</si>
  <si>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</si>
  <si>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</si>
  <si>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</si>
  <si>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</si>
  <si>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</si>
  <si>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</si>
  <si>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</si>
  <si>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</si>
  <si>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</si>
  <si>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</si>
  <si>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</si>
  <si>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</si>
  <si>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</si>
  <si>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</si>
  <si>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</si>
  <si>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</si>
  <si>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</si>
  <si>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</si>
  <si>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</si>
  <si>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</si>
  <si>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</si>
  <si>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</si>
  <si>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</si>
  <si>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</si>
  <si>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</si>
  <si>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</si>
  <si>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</si>
  <si>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</si>
  <si>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</si>
  <si>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</si>
  <si>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</si>
  <si>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</si>
  <si>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</si>
  <si>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</si>
  <si>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</si>
  <si>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</si>
  <si>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</si>
  <si>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</si>
  <si>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</si>
  <si>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</si>
  <si>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</si>
  <si>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</si>
  <si>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</si>
  <si>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</si>
  <si>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</si>
  <si>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</si>
  <si>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</si>
  <si>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</si>
  <si>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</si>
  <si>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</si>
  <si>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</si>
  <si>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</si>
  <si>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</si>
  <si>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</si>
  <si>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</si>
  <si>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</si>
  <si>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</si>
  <si>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</si>
  <si>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</si>
  <si>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</si>
  <si>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</si>
  <si>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</si>
  <si>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</si>
  <si>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</si>
  <si>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</si>
  <si>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</si>
  <si>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</si>
  <si>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</si>
  <si>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</si>
  <si>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</si>
  <si>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</si>
  <si>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</si>
  <si>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</si>
  <si>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</si>
  <si>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</si>
  <si>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</si>
  <si>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</si>
  <si>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</si>
  <si>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</si>
  <si>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</si>
  <si>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</si>
  <si>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</si>
  <si>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</si>
  <si>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</si>
  <si>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</si>
  <si>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</si>
  <si>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</si>
  <si>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</si>
  <si>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</si>
  <si>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</si>
  <si>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</si>
  <si>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</si>
  <si>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</si>
  <si>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</si>
  <si>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</si>
  <si>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</si>
  <si>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</si>
  <si>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</si>
  <si>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</si>
  <si>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</si>
  <si>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</si>
  <si>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</si>
  <si>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</si>
  <si>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</si>
  <si>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</si>
  <si>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</si>
  <si>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</si>
  <si>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</si>
  <si>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</si>
  <si>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</si>
  <si>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</si>
  <si>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</si>
  <si>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</si>
  <si>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</si>
  <si>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</si>
  <si>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</si>
  <si>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</si>
  <si>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</si>
  <si>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</si>
  <si>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</si>
  <si>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</si>
  <si>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</si>
  <si>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</si>
  <si>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</si>
  <si>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</si>
  <si>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</si>
  <si>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</si>
  <si>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</si>
  <si>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</si>
  <si>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</si>
  <si>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</si>
  <si>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</si>
  <si>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</si>
  <si>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</si>
  <si>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</si>
  <si>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</si>
  <si>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</si>
  <si>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</si>
  <si>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</si>
  <si>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</si>
  <si>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</si>
  <si>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</si>
  <si>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</si>
  <si>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</si>
  <si>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</si>
  <si>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</si>
  <si>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</si>
  <si>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</si>
  <si>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</si>
  <si>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</si>
  <si>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</si>
  <si>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</si>
  <si>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</si>
  <si>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</si>
  <si>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</si>
  <si>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</si>
  <si>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</si>
  <si>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</si>
  <si>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</si>
  <si>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</si>
  <si>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</si>
  <si>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</si>
  <si>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</si>
  <si>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</si>
  <si>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</si>
  <si>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</si>
  <si>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</si>
  <si>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</si>
  <si>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</si>
  <si>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</si>
  <si>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</si>
  <si>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</si>
  <si>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</si>
  <si>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</si>
  <si>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</si>
  <si>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</si>
  <si>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</si>
  <si>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</si>
  <si>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</si>
  <si>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</si>
  <si>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</si>
  <si>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</si>
  <si>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</si>
  <si>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</si>
  <si>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</si>
  <si>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</si>
  <si>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</si>
  <si>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</si>
  <si>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</si>
  <si>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</si>
  <si>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</si>
  <si>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</si>
  <si>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</si>
  <si>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</si>
  <si>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</si>
  <si>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</si>
  <si>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</si>
  <si>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</si>
  <si>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</si>
  <si>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</si>
  <si>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</si>
  <si>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</si>
  <si>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</si>
  <si>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</si>
  <si>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</si>
  <si>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</si>
  <si>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</si>
  <si>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</si>
  <si>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</si>
  <si>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</si>
  <si>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</si>
  <si>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</si>
  <si>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</si>
  <si>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</si>
  <si>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</si>
  <si>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</si>
  <si>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</si>
  <si>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</si>
  <si>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</si>
  <si>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</si>
  <si>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</si>
  <si>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</si>
  <si>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</si>
  <si>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</si>
  <si>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</si>
  <si>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</si>
  <si>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</si>
  <si>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</si>
  <si>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</si>
  <si>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</si>
  <si>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</si>
  <si>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</si>
  <si>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</si>
  <si>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</si>
  <si>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</si>
  <si>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</si>
  <si>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</si>
  <si>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</si>
  <si>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</si>
  <si>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</si>
  <si>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</si>
  <si>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</si>
  <si>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</si>
  <si>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</si>
  <si>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</si>
  <si>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</si>
  <si>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</si>
  <si>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</si>
  <si>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</si>
  <si>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</si>
  <si>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</si>
  <si>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</si>
  <si>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</si>
  <si>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</si>
  <si>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</si>
  <si>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</si>
  <si>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</si>
  <si>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</si>
  <si>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</si>
  <si>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</si>
  <si>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</si>
  <si>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</si>
  <si>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</si>
  <si>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</si>
  <si>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</si>
  <si>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</si>
  <si>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</si>
  <si>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</si>
  <si>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</si>
  <si>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</si>
  <si>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</si>
  <si>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</si>
  <si>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</si>
  <si>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</si>
  <si>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</si>
  <si>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</si>
  <si>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</si>
  <si>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</si>
  <si>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</si>
  <si>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</si>
  <si>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</si>
  <si>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</si>
  <si>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</si>
  <si>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</si>
  <si>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</si>
  <si>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</si>
  <si>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</si>
  <si>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</si>
  <si>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</si>
  <si>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</si>
  <si>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</si>
  <si>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</si>
  <si>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</si>
  <si>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</si>
  <si>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</si>
  <si>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</si>
  <si>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</si>
  <si>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</si>
  <si>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</si>
  <si>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</si>
  <si>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</si>
  <si>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</si>
  <si>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</si>
  <si>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</si>
  <si>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</si>
  <si>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</si>
  <si>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</si>
  <si>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</si>
  <si>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</si>
  <si>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</si>
  <si>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</si>
  <si>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</si>
  <si>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</si>
  <si>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</si>
  <si>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</si>
  <si>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</si>
  <si>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</si>
  <si>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</si>
  <si>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</si>
  <si>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</si>
  <si>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</si>
  <si>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</si>
  <si>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</si>
  <si>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</si>
  <si>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</si>
  <si>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</si>
  <si>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</si>
  <si>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</si>
  <si>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</si>
  <si>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</si>
  <si>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</si>
  <si>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</si>
  <si>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</si>
  <si>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</si>
  <si>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</si>
  <si>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</si>
  <si>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</si>
  <si>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</si>
  <si>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</si>
  <si>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</si>
  <si>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</si>
  <si>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</si>
  <si>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</si>
  <si>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</si>
  <si>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</si>
  <si>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</si>
  <si>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</si>
  <si>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</si>
  <si>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</si>
  <si>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</si>
  <si>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</si>
  <si>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</si>
  <si>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</si>
  <si>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</si>
  <si>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</si>
  <si>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</si>
  <si>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</si>
  <si>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</si>
  <si>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</si>
  <si>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</si>
  <si>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</si>
  <si>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</si>
  <si>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</si>
  <si>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</si>
  <si>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</si>
  <si>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</si>
  <si>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</si>
  <si>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</si>
  <si>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</si>
  <si>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</si>
  <si>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</si>
  <si>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</si>
  <si>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</si>
  <si>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</si>
  <si>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</si>
  <si>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</si>
  <si>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</si>
  <si>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</si>
  <si>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</si>
  <si>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</si>
  <si>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</si>
  <si>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</si>
  <si>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</si>
  <si>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</si>
  <si>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</si>
  <si>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</si>
  <si>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</si>
  <si>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</si>
  <si>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</si>
  <si>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</si>
  <si>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</si>
  <si>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</si>
  <si>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</si>
  <si>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</si>
  <si>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</si>
  <si>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</si>
  <si>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</si>
  <si>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</si>
  <si>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</si>
  <si>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</si>
  <si>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</si>
  <si>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</si>
  <si>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</si>
  <si>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</si>
  <si>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</si>
  <si>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</si>
  <si>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</si>
  <si>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</si>
  <si>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</si>
  <si>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</si>
  <si>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</si>
  <si>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</si>
  <si>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</si>
  <si>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</si>
  <si>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</si>
  <si>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</si>
  <si>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</si>
  <si>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</si>
  <si>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</si>
  <si>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</si>
  <si>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</si>
  <si>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</si>
  <si>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</si>
  <si>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</si>
  <si>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</si>
  <si>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</si>
  <si>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</si>
  <si>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</si>
  <si>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</si>
  <si>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</si>
  <si>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</si>
  <si>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</si>
  <si>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</si>
  <si>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</si>
  <si>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</si>
  <si>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</si>
  <si>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</si>
  <si>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</si>
  <si>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</si>
  <si>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</si>
  <si>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</si>
  <si>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</si>
  <si>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</si>
  <si>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</si>
  <si>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</si>
  <si>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</si>
  <si>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</si>
  <si>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</si>
  <si>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</si>
  <si>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</si>
  <si>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</si>
  <si>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</si>
  <si>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</si>
  <si>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</si>
  <si>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</si>
  <si>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</si>
  <si>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</si>
  <si>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</si>
  <si>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</si>
  <si>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</si>
  <si>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</si>
  <si>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</si>
  <si>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</si>
  <si>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</si>
  <si>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</si>
  <si>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</si>
  <si>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</si>
  <si>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</si>
  <si>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</si>
  <si>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</si>
  <si>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</si>
  <si>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</si>
  <si>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</si>
  <si>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</si>
  <si>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</si>
  <si>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</si>
  <si>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</si>
  <si>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</si>
  <si>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</si>
  <si>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</si>
  <si>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</si>
  <si>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</si>
  <si>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</si>
  <si>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</si>
  <si>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</si>
  <si>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</si>
  <si>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</si>
  <si>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</si>
  <si>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</si>
  <si>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</si>
  <si>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</si>
  <si>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</si>
  <si>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</si>
  <si>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</si>
  <si>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</si>
  <si>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</si>
  <si>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</si>
  <si>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</si>
  <si>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</si>
  <si>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</si>
  <si>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</si>
  <si>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</si>
  <si>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</si>
  <si>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</si>
  <si>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</si>
  <si>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</si>
  <si>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</si>
  <si>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</si>
  <si>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</si>
  <si>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</si>
  <si>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</si>
  <si>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</si>
  <si>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</si>
  <si>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</si>
  <si>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</si>
  <si>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</si>
  <si>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</si>
  <si>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</si>
  <si>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</si>
  <si>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</si>
  <si>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</si>
  <si>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</si>
  <si>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</si>
  <si>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</si>
  <si>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</si>
  <si>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</si>
  <si>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</si>
  <si>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</si>
  <si>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</si>
  <si>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</si>
  <si>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</si>
  <si>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</si>
  <si>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</si>
  <si>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</si>
  <si>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</si>
  <si>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</si>
  <si>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</si>
  <si>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</si>
  <si>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</si>
  <si>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</si>
  <si>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</si>
  <si>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</si>
  <si>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</si>
  <si>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</si>
  <si>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</si>
  <si>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</si>
  <si>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</si>
  <si>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</si>
  <si>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</si>
  <si>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</si>
  <si>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</si>
  <si>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</si>
  <si>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</si>
  <si>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</si>
  <si>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</si>
  <si>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</si>
  <si>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</si>
  <si>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</si>
  <si>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</si>
  <si>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</si>
  <si>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</si>
  <si>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</si>
  <si>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</si>
  <si>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</si>
  <si>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</si>
  <si>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</si>
  <si>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</si>
  <si>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</si>
  <si>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</si>
  <si>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</si>
  <si>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</si>
  <si>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</si>
  <si>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</si>
  <si>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</si>
  <si>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</si>
  <si>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</si>
  <si>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</si>
  <si>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</si>
  <si>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</si>
  <si>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</si>
  <si>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</si>
  <si>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</si>
  <si>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</si>
  <si>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</si>
  <si>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</si>
  <si>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</si>
  <si>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</si>
  <si>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</si>
  <si>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</si>
  <si>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</si>
  <si>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</si>
  <si>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</si>
  <si>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</si>
  <si>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</si>
  <si>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</si>
  <si>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</si>
  <si>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</si>
  <si>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</si>
  <si>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</si>
  <si>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</si>
  <si>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</si>
  <si>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</si>
  <si>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</si>
  <si>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</si>
  <si>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</si>
  <si>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</si>
  <si>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</si>
  <si>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</si>
  <si>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</si>
  <si>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</si>
  <si>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</si>
  <si>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</si>
  <si>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</si>
  <si>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</si>
  <si>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</si>
  <si>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</si>
  <si>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</si>
  <si>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</si>
  <si>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</si>
  <si>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</si>
  <si>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</si>
  <si>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</si>
  <si>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</si>
  <si>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</si>
  <si>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</si>
  <si>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</si>
  <si>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</si>
  <si>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</si>
  <si>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</si>
  <si>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</si>
  <si>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</si>
  <si>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</si>
  <si>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</si>
  <si>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</si>
  <si>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</si>
  <si>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</si>
  <si>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</si>
  <si>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</si>
  <si>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</si>
  <si>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</si>
  <si>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</si>
  <si>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</si>
  <si>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</si>
  <si>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</si>
  <si>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</si>
  <si>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</si>
  <si>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</si>
  <si>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</si>
  <si>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</si>
  <si>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</si>
  <si>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</si>
  <si>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</si>
  <si>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</si>
  <si>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</si>
  <si>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</si>
  <si>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</si>
  <si>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</si>
  <si>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</si>
  <si>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</si>
  <si>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</si>
  <si>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</si>
  <si>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</si>
  <si>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</si>
  <si>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</si>
  <si>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</si>
  <si>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</si>
  <si>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</si>
  <si>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</si>
  <si>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</si>
  <si>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</si>
  <si>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</si>
  <si>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</si>
  <si>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</si>
  <si>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</si>
  <si>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</si>
  <si>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</si>
  <si>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</si>
  <si>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</si>
  <si>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</si>
  <si>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</si>
  <si>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</si>
  <si>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</si>
  <si>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</si>
  <si>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</si>
  <si>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</si>
  <si>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</si>
  <si>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</si>
  <si>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</si>
  <si>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</si>
  <si>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</si>
  <si>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</si>
  <si>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</si>
  <si>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</si>
  <si>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</si>
  <si>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</si>
  <si>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</si>
  <si>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</si>
  <si>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</si>
  <si>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</si>
  <si>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</si>
  <si>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</si>
  <si>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</si>
  <si>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</si>
  <si>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</si>
  <si>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</si>
  <si>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</si>
  <si>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</si>
  <si>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</si>
  <si>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</si>
  <si>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</si>
  <si>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</si>
  <si>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</si>
  <si>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</si>
  <si>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</si>
  <si>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</si>
  <si>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</si>
  <si>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</si>
  <si>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</si>
  <si>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</si>
  <si>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</si>
  <si>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</si>
  <si>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</si>
  <si>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</si>
  <si>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</si>
  <si>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</si>
  <si>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</si>
  <si>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</si>
  <si>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</si>
  <si>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</si>
  <si>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</si>
  <si>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</si>
  <si>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</si>
  <si>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</si>
  <si>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</si>
  <si>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</si>
  <si>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</si>
  <si>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</si>
  <si>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</si>
  <si>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</si>
  <si>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</si>
  <si>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</si>
  <si>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</si>
  <si>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</si>
  <si>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</si>
  <si>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</si>
  <si>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</si>
  <si>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</si>
  <si>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</si>
  <si>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</si>
  <si>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</si>
  <si>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</si>
  <si>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</si>
  <si>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</si>
  <si>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</si>
  <si>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</si>
  <si>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</si>
  <si>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</si>
  <si>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</si>
  <si>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</si>
  <si>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</si>
  <si>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</si>
  <si>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</si>
  <si>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</si>
  <si>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</si>
  <si>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</si>
  <si>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</si>
  <si>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</si>
  <si>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</si>
  <si>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</si>
  <si>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</si>
  <si>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</si>
  <si>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</si>
  <si>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</si>
  <si>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</si>
  <si>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</si>
  <si>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</si>
  <si>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</si>
  <si>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</si>
  <si>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</si>
  <si>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</si>
  <si>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</si>
  <si>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</si>
  <si>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</si>
  <si>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</si>
  <si>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</si>
  <si>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</si>
  <si>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</si>
  <si>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</si>
  <si>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</si>
  <si>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</si>
  <si>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</si>
  <si>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</si>
  <si>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</si>
  <si>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</si>
  <si>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</si>
  <si>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</si>
  <si>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</si>
  <si>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</si>
  <si>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</si>
  <si>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</si>
  <si>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</si>
  <si>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</si>
  <si>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</si>
  <si>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</si>
  <si>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</si>
  <si>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</si>
  <si>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</si>
  <si>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</si>
  <si>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</si>
  <si>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</si>
  <si>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</si>
  <si>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</si>
  <si>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</si>
  <si>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</si>
  <si>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</si>
  <si>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</si>
  <si>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</si>
  <si>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</si>
  <si>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</si>
  <si>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</si>
  <si>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</si>
  <si>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</si>
  <si>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</si>
  <si>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</si>
  <si>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</si>
  <si>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</si>
  <si>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</si>
  <si>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</si>
  <si>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</si>
  <si>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</si>
  <si>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</si>
  <si>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</si>
  <si>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</si>
  <si>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</si>
  <si>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</si>
  <si>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</si>
  <si>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</si>
  <si>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</si>
  <si>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</si>
  <si>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</si>
  <si>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</si>
  <si>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</si>
  <si>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</si>
  <si>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</si>
  <si>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</si>
  <si>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</si>
  <si>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</si>
  <si>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</si>
  <si>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</si>
  <si>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</si>
  <si>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</si>
  <si>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</si>
  <si>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</si>
  <si>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</si>
  <si>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</si>
  <si>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</si>
  <si>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</si>
  <si>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</si>
  <si>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</si>
  <si>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</si>
  <si>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</si>
  <si>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</si>
  <si>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</si>
  <si>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</si>
  <si>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</si>
  <si>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</si>
  <si>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</si>
  <si>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</si>
  <si>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</si>
  <si>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</si>
  <si>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</si>
  <si>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</si>
  <si>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</si>
  <si>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</si>
  <si>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</si>
  <si>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</si>
  <si>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</si>
  <si>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</si>
  <si>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</si>
  <si>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</si>
  <si>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</si>
  <si>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</si>
  <si>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</si>
  <si>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</si>
  <si>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</si>
  <si>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</si>
  <si>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</si>
  <si>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</si>
  <si>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</si>
  <si>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</si>
  <si>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</si>
  <si>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</si>
  <si>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</si>
  <si>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</si>
  <si>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</si>
  <si>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</si>
  <si>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</si>
  <si>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</si>
  <si>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</si>
  <si>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</si>
  <si>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</si>
  <si>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</si>
  <si>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</si>
  <si>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</si>
  <si>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</si>
  <si>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</si>
  <si>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</si>
  <si>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</si>
  <si>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</si>
  <si>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</si>
  <si>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</si>
  <si>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</si>
  <si>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</si>
  <si>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</si>
  <si>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</si>
  <si>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</si>
  <si>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</si>
  <si>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</si>
  <si>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</si>
  <si>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</si>
  <si>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</si>
  <si>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</si>
  <si>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</si>
  <si>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</si>
  <si>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</si>
  <si>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</si>
  <si>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</si>
  <si>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</si>
  <si>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</si>
  <si>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</si>
  <si>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</si>
  <si>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</si>
  <si>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</si>
  <si>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</si>
  <si>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</si>
  <si>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</si>
  <si>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</si>
  <si>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</si>
  <si>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</si>
  <si>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</si>
  <si>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</si>
  <si>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</si>
  <si>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</si>
  <si>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</si>
  <si>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</si>
  <si>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</si>
  <si>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</si>
  <si>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</si>
  <si>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</si>
  <si>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</si>
  <si>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</si>
  <si>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</si>
  <si>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</si>
  <si>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</si>
  <si>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</si>
  <si>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</si>
  <si>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</si>
  <si>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</si>
  <si>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</si>
  <si>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</si>
  <si>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</si>
  <si>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</si>
  <si>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</si>
  <si>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</si>
  <si>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</si>
  <si>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</si>
  <si>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</si>
  <si>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</si>
  <si>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</si>
  <si>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</si>
  <si>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</si>
  <si>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</si>
  <si>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</si>
  <si>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</si>
  <si>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</si>
  <si>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</si>
  <si>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</si>
  <si>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</si>
  <si>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</si>
  <si>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</si>
  <si>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</si>
  <si>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</si>
  <si>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</si>
  <si>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</si>
  <si>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</si>
  <si>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</si>
  <si>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</si>
  <si>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</si>
  <si>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</si>
  <si>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</si>
  <si>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</si>
  <si>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</si>
  <si>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</si>
  <si>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</si>
  <si>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</si>
  <si>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</si>
  <si>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</si>
  <si>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</si>
  <si>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</si>
  <si>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</si>
  <si>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</si>
  <si>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</si>
  <si>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</si>
  <si>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</si>
  <si>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</si>
  <si>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</si>
  <si>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</si>
  <si>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</si>
  <si>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</si>
  <si>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</si>
  <si>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</si>
  <si>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</si>
  <si>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</si>
  <si>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</si>
  <si>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</si>
  <si>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</si>
  <si>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</si>
  <si>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</si>
  <si>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</si>
  <si>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</si>
  <si>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</si>
  <si>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</si>
  <si>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</si>
  <si>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</si>
  <si>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</si>
  <si>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</si>
  <si>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</si>
  <si>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</si>
  <si>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</si>
  <si>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</si>
  <si>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</si>
  <si>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</si>
  <si>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</si>
  <si>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</si>
  <si>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</si>
  <si>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</si>
  <si>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</si>
  <si>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</si>
  <si>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</si>
  <si>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</si>
  <si>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</si>
  <si>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</si>
  <si>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</si>
  <si>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</si>
  <si>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</si>
  <si>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</si>
  <si>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</si>
  <si>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</si>
  <si>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</si>
  <si>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</si>
  <si>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</si>
  <si>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</si>
  <si>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</si>
  <si>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</si>
  <si>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</si>
  <si>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</si>
  <si>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</si>
  <si>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</si>
  <si>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</si>
  <si>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</si>
  <si>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</si>
  <si>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</si>
  <si>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</si>
  <si>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</si>
  <si>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</si>
  <si>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</si>
  <si>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</si>
  <si>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</si>
  <si>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</si>
  <si>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</si>
  <si>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</si>
  <si>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</si>
  <si>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</si>
  <si>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</si>
  <si>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</si>
  <si>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</si>
  <si>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</si>
  <si>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</si>
  <si>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</si>
  <si>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</si>
  <si>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</si>
  <si>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</si>
  <si>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</si>
  <si>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</si>
  <si>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</si>
  <si>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</si>
  <si>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</si>
  <si>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</si>
  <si>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</si>
  <si>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</si>
  <si>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</si>
  <si>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</si>
  <si>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</si>
  <si>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</si>
  <si>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</si>
  <si>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</si>
  <si>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</si>
  <si>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</si>
  <si>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</si>
  <si>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</si>
  <si>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</si>
  <si>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</si>
  <si>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</si>
  <si>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</si>
  <si>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</si>
  <si>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</si>
  <si>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</si>
  <si>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</si>
  <si>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</si>
  <si>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</si>
  <si>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</si>
  <si>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</si>
  <si>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</si>
  <si>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</si>
  <si>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</si>
  <si>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</si>
  <si>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</si>
  <si>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</si>
  <si>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</si>
  <si>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</si>
  <si>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</si>
  <si>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</si>
  <si>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</si>
  <si>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</si>
  <si>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</si>
  <si>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</si>
  <si>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</si>
  <si>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</si>
  <si>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</si>
  <si>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</si>
  <si>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</si>
  <si>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</si>
  <si>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</si>
  <si>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</si>
  <si>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</si>
  <si>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</si>
  <si>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</si>
  <si>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</si>
  <si>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</si>
  <si>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</si>
  <si>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</si>
  <si>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</si>
  <si>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</si>
  <si>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</si>
  <si>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</si>
  <si>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</si>
  <si>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</si>
  <si>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</si>
  <si>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</si>
  <si>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</si>
  <si>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</si>
  <si>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</si>
  <si>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</si>
  <si>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</si>
  <si>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</si>
  <si>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</si>
  <si>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</si>
  <si>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</si>
  <si>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</si>
  <si>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</si>
  <si>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</si>
  <si>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</si>
  <si>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</si>
  <si>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</si>
  <si>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</si>
  <si>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</si>
  <si>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</si>
  <si>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</si>
  <si>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</si>
  <si>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</si>
  <si>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</si>
  <si>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</si>
  <si>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</si>
  <si>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</si>
  <si>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</si>
  <si>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</si>
  <si>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</si>
  <si>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</si>
  <si>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</si>
  <si>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</si>
  <si>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</si>
  <si>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</si>
  <si>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</si>
  <si>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</si>
  <si>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</si>
  <si>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</si>
  <si>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</si>
  <si>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</si>
  <si>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</si>
  <si>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</si>
  <si>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</si>
  <si>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</si>
  <si>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</si>
  <si>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</si>
  <si>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</si>
  <si>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</si>
  <si>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</si>
  <si>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</si>
  <si>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</si>
  <si>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</si>
  <si>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</si>
  <si>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</si>
  <si>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</si>
  <si>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</si>
  <si>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</si>
  <si>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</si>
  <si>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</si>
  <si>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</si>
  <si>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</si>
  <si>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</si>
  <si>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</si>
  <si>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</si>
  <si>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</si>
  <si>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</si>
  <si>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</si>
  <si>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</si>
  <si>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</si>
  <si>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</si>
  <si>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</si>
  <si>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</si>
  <si>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</si>
  <si>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</si>
  <si>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</si>
  <si>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</si>
  <si>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</si>
  <si>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</si>
  <si>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</si>
  <si>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</si>
  <si>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</si>
  <si>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</si>
  <si>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</si>
  <si>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</si>
  <si>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</si>
  <si>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</si>
  <si>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</si>
  <si>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</si>
  <si>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</si>
  <si>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</si>
  <si>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</si>
  <si>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</si>
  <si>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</si>
  <si>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</si>
  <si>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</si>
  <si>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</si>
  <si>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</si>
  <si>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</si>
  <si>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</si>
  <si>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</si>
  <si>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</si>
  <si>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</si>
  <si>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</si>
  <si>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</si>
  <si>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</si>
  <si>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</si>
  <si>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</si>
  <si>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</si>
  <si>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</si>
  <si>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</si>
  <si>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</si>
  <si>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</si>
  <si>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</si>
  <si>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</si>
  <si>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</si>
  <si>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</si>
  <si>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</si>
  <si>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</si>
  <si>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</si>
  <si>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</si>
  <si>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</si>
  <si>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</si>
  <si>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</si>
  <si>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</si>
  <si>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</si>
  <si>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</si>
  <si>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</si>
  <si>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</si>
  <si>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</si>
  <si>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</si>
  <si>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</si>
  <si>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</si>
  <si>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</si>
  <si>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</si>
  <si>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</si>
  <si>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</si>
  <si>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</si>
  <si>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</si>
  <si>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</si>
  <si>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</si>
  <si>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</si>
  <si>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</si>
  <si>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</si>
  <si>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</si>
  <si>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</si>
  <si>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</si>
  <si>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</si>
  <si>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</si>
  <si>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</si>
  <si>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</si>
  <si>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</si>
  <si>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</si>
  <si>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</si>
  <si>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</si>
  <si>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</si>
  <si>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</si>
  <si>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</si>
  <si>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</si>
  <si>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</si>
  <si>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</si>
  <si>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</si>
  <si>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</si>
  <si>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</si>
  <si>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</si>
  <si>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</si>
  <si>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</si>
  <si>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</si>
  <si>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</si>
  <si>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</si>
  <si>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</si>
  <si>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</si>
  <si>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</si>
  <si>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</si>
  <si>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</si>
  <si>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</si>
  <si>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</si>
  <si>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</si>
  <si>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</si>
  <si>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</si>
  <si>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</si>
  <si>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</si>
  <si>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</si>
  <si>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</si>
  <si>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</si>
  <si>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</si>
  <si>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</si>
  <si>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</si>
  <si>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</si>
  <si>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</si>
  <si>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</si>
  <si>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</si>
  <si>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</si>
  <si>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</si>
  <si>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</si>
  <si>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</si>
  <si>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</si>
  <si>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</si>
  <si>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</si>
  <si>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</si>
  <si>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</si>
  <si>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</si>
  <si>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</si>
  <si>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</si>
  <si>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</si>
  <si>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</si>
  <si>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</si>
  <si>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</si>
  <si>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</si>
  <si>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</si>
  <si>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</si>
  <si>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</si>
  <si>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</si>
  <si>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</si>
  <si>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</si>
  <si>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</si>
  <si>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</si>
  <si>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</si>
  <si>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</si>
  <si>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</si>
  <si>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</si>
  <si>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</si>
  <si>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</si>
  <si>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</si>
  <si>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</si>
  <si>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</si>
  <si>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</si>
  <si>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</si>
  <si>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</si>
  <si>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</si>
  <si>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</si>
  <si>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</si>
  <si>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</si>
  <si>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</si>
  <si>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</si>
  <si>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</si>
  <si>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</si>
  <si>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</si>
  <si>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</si>
  <si>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</si>
  <si>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</si>
  <si>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</si>
  <si>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</si>
  <si>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</si>
  <si>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</si>
  <si>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</si>
  <si>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</si>
  <si>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</si>
  <si>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</si>
  <si>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</si>
  <si>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</si>
  <si>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</si>
  <si>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</si>
  <si>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</si>
  <si>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</si>
  <si>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</si>
  <si>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</si>
  <si>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</si>
  <si>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</si>
  <si>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</si>
  <si>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</si>
  <si>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</si>
  <si>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</si>
  <si>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</si>
  <si>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</si>
  <si>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</si>
  <si>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</si>
  <si>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</si>
  <si>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</si>
  <si>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</si>
  <si>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</si>
  <si>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</si>
  <si>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</si>
  <si>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</si>
  <si>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</si>
  <si>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</si>
  <si>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</si>
  <si>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</si>
  <si>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</si>
  <si>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</si>
  <si>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</si>
  <si>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</si>
  <si>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</si>
  <si>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</si>
  <si>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</si>
  <si>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</si>
  <si>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</si>
  <si>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</si>
  <si>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</si>
  <si>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</si>
  <si>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</si>
  <si>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</si>
  <si>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</si>
  <si>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</si>
  <si>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</si>
  <si>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</si>
  <si>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</si>
  <si>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</si>
  <si>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</si>
  <si>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</si>
  <si>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</si>
  <si>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</si>
  <si>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</si>
  <si>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</si>
  <si>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</si>
  <si>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</si>
  <si>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</si>
  <si>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</si>
  <si>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</si>
  <si>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</si>
  <si>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</si>
  <si>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</si>
  <si>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</si>
  <si>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</si>
  <si>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</si>
  <si>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</si>
  <si>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</si>
  <si>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</si>
  <si>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</si>
  <si>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</si>
  <si>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</si>
  <si>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</si>
  <si>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</si>
  <si>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</si>
  <si>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</si>
  <si>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</si>
  <si>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</si>
  <si>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</si>
  <si>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</si>
  <si>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</si>
  <si>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</si>
  <si>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</si>
  <si>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</si>
  <si>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</si>
  <si>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</si>
  <si>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</si>
  <si>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</si>
  <si>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</si>
  <si>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</si>
  <si>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</si>
  <si>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</si>
  <si>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</si>
  <si>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</si>
  <si>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</si>
  <si>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</si>
  <si>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</si>
  <si>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</si>
  <si>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</si>
  <si>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</si>
  <si>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</si>
  <si>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</si>
  <si>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</si>
  <si>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</si>
  <si>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</si>
  <si>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</si>
  <si>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</si>
  <si>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</si>
  <si>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</si>
  <si>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</si>
  <si>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</si>
  <si>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</si>
  <si>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</si>
  <si>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</si>
  <si>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</si>
  <si>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</si>
  <si>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</si>
  <si>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</si>
  <si>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</si>
  <si>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</si>
  <si>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</si>
  <si>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</si>
  <si>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</si>
  <si>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</si>
  <si>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</si>
  <si>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</si>
  <si>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</si>
  <si>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</si>
  <si>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</si>
  <si>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</si>
  <si>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</si>
  <si>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</si>
  <si>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</si>
  <si>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</si>
  <si>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</si>
  <si>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</si>
  <si>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</si>
  <si>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</si>
  <si>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</si>
  <si>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</si>
  <si>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</si>
  <si>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</si>
  <si>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</si>
  <si>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</si>
  <si>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</si>
  <si>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</si>
  <si>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</si>
  <si>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</si>
  <si>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</si>
  <si>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</si>
  <si>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</si>
  <si>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</si>
  <si>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</si>
  <si>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</si>
  <si>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</si>
  <si>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</si>
  <si>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</si>
  <si>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</si>
  <si>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</si>
  <si>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</si>
  <si>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</si>
  <si>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</si>
  <si>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</si>
  <si>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</si>
  <si>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</si>
  <si>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</si>
  <si>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</si>
  <si>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</si>
  <si>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</si>
  <si>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</si>
  <si>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</si>
  <si>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</si>
  <si>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</si>
  <si>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</si>
  <si>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</si>
  <si>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</si>
  <si>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</si>
  <si>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</si>
  <si>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</si>
  <si>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</si>
  <si>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</si>
  <si>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</si>
  <si>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</si>
  <si>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</si>
  <si>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</si>
  <si>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</si>
  <si>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</si>
  <si>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</si>
  <si>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</si>
  <si>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</si>
  <si>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</si>
  <si>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</si>
  <si>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</si>
  <si>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</si>
  <si>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</si>
  <si>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</si>
  <si>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</si>
  <si>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</si>
  <si>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</si>
  <si>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</si>
  <si>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</si>
  <si>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</si>
  <si>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</si>
  <si>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</si>
  <si>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</si>
  <si>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</si>
  <si>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</si>
  <si>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</si>
  <si>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</si>
  <si>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</si>
  <si>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</si>
  <si>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</si>
  <si>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</si>
  <si>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</si>
  <si>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</si>
  <si>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</si>
  <si>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</si>
  <si>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</si>
  <si>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</si>
  <si>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</si>
  <si>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</si>
  <si>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</si>
  <si>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</si>
  <si>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</si>
  <si>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</si>
  <si>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</si>
  <si>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</si>
  <si>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</si>
  <si>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</si>
  <si>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</si>
  <si>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</si>
  <si>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</si>
  <si>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</si>
  <si>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</si>
  <si>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</si>
  <si>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</si>
  <si>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</si>
  <si>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</si>
  <si>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</si>
  <si>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</si>
  <si>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</si>
  <si>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</si>
  <si>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</si>
  <si>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</si>
  <si>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</si>
  <si>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</si>
  <si>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</si>
  <si>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</si>
  <si>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</si>
  <si>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</si>
  <si>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</si>
  <si>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</si>
  <si>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</si>
  <si>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</si>
  <si>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</si>
  <si>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</si>
  <si>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</si>
  <si>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</si>
  <si>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</si>
  <si>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</si>
  <si>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</si>
  <si>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</si>
  <si>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</si>
  <si>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</si>
  <si>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</si>
  <si>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</si>
  <si>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</si>
  <si>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</si>
  <si>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</si>
  <si>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</si>
  <si>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</si>
  <si>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</si>
  <si>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</si>
  <si>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</si>
  <si>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</si>
  <si>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</si>
  <si>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</si>
  <si>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</si>
  <si>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</si>
  <si>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</si>
  <si>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</si>
  <si>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</si>
  <si>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</si>
  <si>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</si>
  <si>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</si>
  <si>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</si>
  <si>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</si>
  <si>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</si>
  <si>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</si>
  <si>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</si>
  <si>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</si>
  <si>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</si>
  <si>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</si>
  <si>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</si>
  <si>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</si>
  <si>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</si>
  <si>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</si>
  <si>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</si>
  <si>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</si>
  <si>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</si>
  <si>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</si>
  <si>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</si>
  <si>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</si>
  <si>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</si>
  <si>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</si>
  <si>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</si>
  <si>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</si>
  <si>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</si>
  <si>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</si>
  <si>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</si>
  <si>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</si>
  <si>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</si>
  <si>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</si>
  <si>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</si>
  <si>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</si>
  <si>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</si>
  <si>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</si>
  <si>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</si>
  <si>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</si>
  <si>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</si>
  <si>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</si>
  <si>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</si>
  <si>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</si>
  <si>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</si>
  <si>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</si>
  <si>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</si>
  <si>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</si>
  <si>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</si>
  <si>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</si>
  <si>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</si>
  <si>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</si>
  <si>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</si>
  <si>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</si>
  <si>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</si>
  <si>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</si>
  <si>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</si>
  <si>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</si>
  <si>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</si>
  <si>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</si>
  <si>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</si>
  <si>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</si>
  <si>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</si>
  <si>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</si>
  <si>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</si>
  <si>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</si>
  <si>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</si>
  <si>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</si>
  <si>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</si>
  <si>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</si>
  <si>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</si>
  <si>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</si>
  <si>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</si>
  <si>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</si>
  <si>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</si>
  <si>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</si>
  <si>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</si>
  <si>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</si>
  <si>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</si>
  <si>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</si>
  <si>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</si>
  <si>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</si>
  <si>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</si>
  <si>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</si>
  <si>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</si>
  <si>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</si>
  <si>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</si>
  <si>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</si>
  <si>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</si>
  <si>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</si>
  <si>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</si>
  <si>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</si>
  <si>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</si>
  <si>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</si>
  <si>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</si>
  <si>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</si>
  <si>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</si>
  <si>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</si>
  <si>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</si>
  <si>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</si>
  <si>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</si>
  <si>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</si>
  <si>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</si>
  <si>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</si>
  <si>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</si>
  <si>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</si>
  <si>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</si>
  <si>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</si>
  <si>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</si>
  <si>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</si>
  <si>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</si>
  <si>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</si>
  <si>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</si>
  <si>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</si>
  <si>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</si>
  <si>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</si>
  <si>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</si>
  <si>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</si>
  <si>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</si>
  <si>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</si>
  <si>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</si>
  <si>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</si>
  <si>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</si>
  <si>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</si>
  <si>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</si>
  <si>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</si>
  <si>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</si>
  <si>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</si>
  <si>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</si>
  <si>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</si>
  <si>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</si>
  <si>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</si>
  <si>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</si>
  <si>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</si>
  <si>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</si>
  <si>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</si>
  <si>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</si>
  <si>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</si>
  <si>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</si>
  <si>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</si>
  <si>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</si>
  <si>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</si>
  <si>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</si>
  <si>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</si>
  <si>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</si>
  <si>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</si>
  <si>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</si>
  <si>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</si>
  <si>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</si>
  <si>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</si>
  <si>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</si>
  <si>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</si>
  <si>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</si>
  <si>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</si>
  <si>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</si>
  <si>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</si>
  <si>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</si>
  <si>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</si>
  <si>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</si>
  <si>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</si>
  <si>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</si>
  <si>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</si>
  <si>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</si>
  <si>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</si>
  <si>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</si>
  <si>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</si>
  <si>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</si>
  <si>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</si>
  <si>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</si>
  <si>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</si>
  <si>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</si>
  <si>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</si>
  <si>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</si>
  <si>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</si>
  <si>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</si>
  <si>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</si>
  <si>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</si>
  <si>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</si>
  <si>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</si>
  <si>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</si>
  <si>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</si>
  <si>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</si>
  <si>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</si>
  <si>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</si>
  <si>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</si>
  <si>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</si>
  <si>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</si>
  <si>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</si>
  <si>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</si>
  <si>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</si>
  <si>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</si>
  <si>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</si>
  <si>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</si>
  <si>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</si>
  <si>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</si>
  <si>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</si>
  <si>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</si>
  <si>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</si>
  <si>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</si>
  <si>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</si>
  <si>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</si>
  <si>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</si>
  <si>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</si>
  <si>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</si>
  <si>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</si>
  <si>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</si>
  <si>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</si>
  <si>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</si>
  <si>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</si>
  <si>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</si>
  <si>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</si>
  <si>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</si>
  <si>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</si>
  <si>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</si>
  <si>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</si>
  <si>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</si>
  <si>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</si>
  <si>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</si>
  <si>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</si>
  <si>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</si>
  <si>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</si>
  <si>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</si>
  <si>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</si>
  <si>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</si>
  <si>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</si>
  <si>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</si>
  <si>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</si>
  <si>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</si>
  <si>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</si>
  <si>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</si>
  <si>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</si>
  <si>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</si>
  <si>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</si>
  <si>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</si>
  <si>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</si>
  <si>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</si>
  <si>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</si>
  <si>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</si>
  <si>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</si>
  <si>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</si>
  <si>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</si>
  <si>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</si>
  <si>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</si>
  <si>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</si>
  <si>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</si>
  <si>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</si>
  <si>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</si>
  <si>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</si>
  <si>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</si>
  <si>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</si>
  <si>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</si>
  <si>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</si>
  <si>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</si>
  <si>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</si>
  <si>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</si>
  <si>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</si>
  <si>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</si>
  <si>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</si>
  <si>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</si>
  <si>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</si>
  <si>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</si>
  <si>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</si>
  <si>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</si>
  <si>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</si>
  <si>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</si>
  <si>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</si>
  <si>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</si>
  <si>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</si>
  <si>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</si>
  <si>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</si>
  <si>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</si>
  <si>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</si>
  <si>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</si>
  <si>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</si>
  <si>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</si>
  <si>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</si>
  <si>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</si>
  <si>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</si>
  <si>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</si>
  <si>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</si>
  <si>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</si>
  <si>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</si>
  <si>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</si>
  <si>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</si>
  <si>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</si>
  <si>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</si>
  <si>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</si>
  <si>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</si>
  <si>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</si>
  <si>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</si>
  <si>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</si>
  <si>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</si>
  <si>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</si>
  <si>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</si>
  <si>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</si>
  <si>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</si>
  <si>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</si>
  <si>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</si>
  <si>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</si>
  <si>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</si>
  <si>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</si>
  <si>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</si>
  <si>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</si>
  <si>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</si>
  <si>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</si>
  <si>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</si>
  <si>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</si>
  <si>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</si>
  <si>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</si>
  <si>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</si>
  <si>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</si>
  <si>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</si>
  <si>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</si>
  <si>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</si>
  <si>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</si>
  <si>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</si>
  <si>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</si>
  <si>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</si>
  <si>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</si>
  <si>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</si>
  <si>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</si>
  <si>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</si>
  <si>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</si>
  <si>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</si>
  <si>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</si>
  <si>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</si>
  <si>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</si>
  <si>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</si>
  <si>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</si>
  <si>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</si>
  <si>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</si>
  <si>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</si>
  <si>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</si>
  <si>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</si>
  <si>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</si>
  <si>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</si>
  <si>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</si>
  <si>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</si>
  <si>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</si>
  <si>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</si>
  <si>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</si>
  <si>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</si>
  <si>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</si>
  <si>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</si>
  <si>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</si>
  <si>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</si>
  <si>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</si>
  <si>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</si>
  <si>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</si>
  <si>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</si>
  <si>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</si>
  <si>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</si>
  <si>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</si>
  <si>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</si>
  <si>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</si>
  <si>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</si>
  <si>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</si>
  <si>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</si>
  <si>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</si>
  <si>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</si>
  <si>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</si>
  <si>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</si>
  <si>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</si>
  <si>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</si>
  <si>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</si>
  <si>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</si>
  <si>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</si>
  <si>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</si>
  <si>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</si>
  <si>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</si>
  <si>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</si>
  <si>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</si>
  <si>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</si>
  <si>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</si>
  <si>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</si>
  <si>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</si>
  <si>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</si>
  <si>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</si>
  <si>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</si>
  <si>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</si>
  <si>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</si>
  <si>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</si>
  <si>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</si>
  <si>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</si>
  <si>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</si>
  <si>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</si>
  <si>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</si>
  <si>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</si>
  <si>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</si>
  <si>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</si>
  <si>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</si>
  <si>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</si>
  <si>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</si>
  <si>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</si>
  <si>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</si>
  <si>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</si>
  <si>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</si>
  <si>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</si>
  <si>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</si>
  <si>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</si>
  <si>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</si>
  <si>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</si>
  <si>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</si>
  <si>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</si>
  <si>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</si>
  <si>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</si>
  <si>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</si>
  <si>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</si>
  <si>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</si>
  <si>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</si>
  <si>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</si>
  <si>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</si>
  <si>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</si>
  <si>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</si>
  <si>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</si>
  <si>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</si>
  <si>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</si>
  <si>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</si>
  <si>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</si>
  <si>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</si>
  <si>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</si>
  <si>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</si>
  <si>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</si>
  <si>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</si>
  <si>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</si>
  <si>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</si>
  <si>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</si>
  <si>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</si>
  <si>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</si>
  <si>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</si>
  <si>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</si>
  <si>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</si>
  <si>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</si>
  <si>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</si>
  <si>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</si>
  <si>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</si>
  <si>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</si>
  <si>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</si>
  <si>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</si>
  <si>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</si>
  <si>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</si>
  <si>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</si>
  <si>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</si>
  <si>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</si>
  <si>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</si>
  <si>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</si>
  <si>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</si>
  <si>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</si>
  <si>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</si>
  <si>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</si>
  <si>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</si>
  <si>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</si>
  <si>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</si>
  <si>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</si>
  <si>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</si>
  <si>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</si>
  <si>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</si>
  <si>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</si>
  <si>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</si>
  <si>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</si>
  <si>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</si>
  <si>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</si>
  <si>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</si>
  <si>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</si>
  <si>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</si>
  <si>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</si>
  <si>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</si>
  <si>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</si>
  <si>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</si>
  <si>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</si>
  <si>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</si>
  <si>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</si>
  <si>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</si>
  <si>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</si>
  <si>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</si>
  <si>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</si>
  <si>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</si>
  <si>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</si>
  <si>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</si>
  <si>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</si>
  <si>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</si>
  <si>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</si>
  <si>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</si>
  <si>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</si>
  <si>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</si>
  <si>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</si>
  <si>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</si>
  <si>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</si>
  <si>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</si>
  <si>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</si>
  <si>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</si>
  <si>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</si>
  <si>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</si>
  <si>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</si>
  <si>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</si>
  <si>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</si>
  <si>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</si>
  <si>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</si>
  <si>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</si>
  <si>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</si>
  <si>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</si>
  <si>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</si>
  <si>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</si>
  <si>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</si>
  <si>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</si>
  <si>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</si>
  <si>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</si>
  <si>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</si>
  <si>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</si>
  <si>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</si>
  <si>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</si>
  <si>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</si>
  <si>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</si>
  <si>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</si>
  <si>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</si>
  <si>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</si>
  <si>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</si>
  <si>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</si>
  <si>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</si>
  <si>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</si>
  <si>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</si>
  <si>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</si>
  <si>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</si>
  <si>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</si>
  <si>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</si>
  <si>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</si>
  <si>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</si>
  <si>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</si>
  <si>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</si>
  <si>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</si>
  <si>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</si>
  <si>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</si>
  <si>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</si>
  <si>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</si>
  <si>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</si>
  <si>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</si>
  <si>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</si>
  <si>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</si>
  <si>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</si>
  <si>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</si>
  <si>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</si>
  <si>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</si>
  <si>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</si>
  <si>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</si>
  <si>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</si>
  <si>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</si>
  <si>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</si>
  <si>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</si>
  <si>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</si>
  <si>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</si>
  <si>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</si>
  <si>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</si>
  <si>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</si>
  <si>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</si>
  <si>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</si>
  <si>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</si>
  <si>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</si>
  <si>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</si>
  <si>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</si>
  <si>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</si>
  <si>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</si>
  <si>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</si>
  <si>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</si>
  <si>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</si>
  <si>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</si>
  <si>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</si>
  <si>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</si>
  <si>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</si>
  <si>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</si>
  <si>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</si>
  <si>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</si>
  <si>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</si>
  <si>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</si>
  <si>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</si>
  <si>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</si>
  <si>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</si>
  <si>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</si>
  <si>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</si>
  <si>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</si>
  <si>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</si>
  <si>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</si>
  <si>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</si>
  <si>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</si>
  <si>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</si>
  <si>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</si>
  <si>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</si>
  <si>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</si>
  <si>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</si>
  <si>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</si>
  <si>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</si>
  <si>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</si>
  <si>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</si>
  <si>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</si>
  <si>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</si>
  <si>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</si>
  <si>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</si>
  <si>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</si>
  <si>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</si>
  <si>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</si>
  <si>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</si>
  <si>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</si>
  <si>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</si>
  <si>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</si>
  <si>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</si>
  <si>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</si>
  <si>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</si>
  <si>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</si>
  <si>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</si>
  <si>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</si>
  <si>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</si>
  <si>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</si>
  <si>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</si>
  <si>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</si>
  <si>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</si>
  <si>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</si>
  <si>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</si>
  <si>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</si>
  <si>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</si>
  <si>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</si>
  <si>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</si>
  <si>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</si>
  <si>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</si>
  <si>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</si>
  <si>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</si>
  <si>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</si>
  <si>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</si>
  <si>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</si>
  <si>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</si>
  <si>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</si>
  <si>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</si>
  <si>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</si>
  <si>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</si>
  <si>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</si>
  <si>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</si>
  <si>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</si>
  <si>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</si>
  <si>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</si>
  <si>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</si>
  <si>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</si>
  <si>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</si>
  <si>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</si>
  <si>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</si>
  <si>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</si>
  <si>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</si>
  <si>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</si>
  <si>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</si>
  <si>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</si>
  <si>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</si>
  <si>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</si>
  <si>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</si>
  <si>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</si>
  <si>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</si>
  <si>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</si>
  <si>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</si>
  <si>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</si>
  <si>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</si>
  <si>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</si>
  <si>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</si>
  <si>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</si>
  <si>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</si>
  <si>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</si>
  <si>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</si>
  <si>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</si>
  <si>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</si>
  <si>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</si>
  <si>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</si>
  <si>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</si>
  <si>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</si>
  <si>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</si>
  <si>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</si>
  <si>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</si>
  <si>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</si>
  <si>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</si>
  <si>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</si>
  <si>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</si>
  <si>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</si>
  <si>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</si>
  <si>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</si>
  <si>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</si>
  <si>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</si>
  <si>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</si>
  <si>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</si>
  <si>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</si>
  <si>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</si>
  <si>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</si>
  <si>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</si>
  <si>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</si>
  <si>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</si>
  <si>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</si>
  <si>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</si>
  <si>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</si>
  <si>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</si>
  <si>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</si>
  <si>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</si>
  <si>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</si>
  <si>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</si>
  <si>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</si>
  <si>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</si>
  <si>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</si>
  <si>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</si>
  <si>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</si>
  <si>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</si>
  <si>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</si>
  <si>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</si>
  <si>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</si>
  <si>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</si>
  <si>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</si>
  <si>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</si>
  <si>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</si>
  <si>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</si>
  <si>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</si>
  <si>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</si>
  <si>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</si>
  <si>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</si>
  <si>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</si>
  <si>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</si>
  <si>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</si>
  <si>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</si>
  <si>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</si>
  <si>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</si>
  <si>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</si>
  <si>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</si>
  <si>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</si>
  <si>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</si>
  <si>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</si>
  <si>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</si>
  <si>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</si>
  <si>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</si>
  <si>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</si>
  <si>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</si>
  <si>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</si>
  <si>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</si>
  <si>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</si>
  <si>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</si>
  <si>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</si>
  <si>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</si>
  <si>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</si>
  <si>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</si>
  <si>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</si>
  <si>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</si>
  <si>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</si>
  <si>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</si>
  <si>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</si>
  <si>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</si>
  <si>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</si>
  <si>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</si>
  <si>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</si>
  <si>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</si>
  <si>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</si>
  <si>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</si>
  <si>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</si>
  <si>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</si>
  <si>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</si>
  <si>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</si>
  <si>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</si>
  <si>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</si>
  <si>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</si>
  <si>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</si>
  <si>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</si>
  <si>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</si>
  <si>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</si>
  <si>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</si>
  <si>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</si>
  <si>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</si>
  <si>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</si>
  <si>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</si>
  <si>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</si>
  <si>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</si>
  <si>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</si>
  <si>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</si>
  <si>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</si>
  <si>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</si>
  <si>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</si>
  <si>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</si>
  <si>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</si>
  <si>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</si>
  <si>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</si>
  <si>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</si>
  <si>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</si>
  <si>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</si>
  <si>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</si>
  <si>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</si>
  <si>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</si>
  <si>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</si>
  <si>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</si>
  <si>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</si>
  <si>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</si>
  <si>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</si>
  <si>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</si>
  <si>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</si>
  <si>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</si>
  <si>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</si>
  <si>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</si>
  <si>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</si>
  <si>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</si>
  <si>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</si>
  <si>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</si>
  <si>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</si>
  <si>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</si>
  <si>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</si>
  <si>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</si>
  <si>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</si>
  <si>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</si>
  <si>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</si>
  <si>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</si>
  <si>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</si>
  <si>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</si>
  <si>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</si>
  <si>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</si>
  <si>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</si>
  <si>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</si>
  <si>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</si>
  <si>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</si>
  <si>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</si>
  <si>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</si>
  <si>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</si>
  <si>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</si>
  <si>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</si>
  <si>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</si>
  <si>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</si>
  <si>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</si>
  <si>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</si>
  <si>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</si>
  <si>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</si>
  <si>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</si>
  <si>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</si>
  <si>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</si>
  <si>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</si>
  <si>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</si>
  <si>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</si>
  <si>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</si>
  <si>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</si>
  <si>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</si>
  <si>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</si>
  <si>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</si>
  <si>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</si>
  <si>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</si>
  <si>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</si>
  <si>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</si>
  <si>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</si>
  <si>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</si>
  <si>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</si>
  <si>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</si>
  <si>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</si>
  <si>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</si>
  <si>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</si>
  <si>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</si>
  <si>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</si>
  <si>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</si>
  <si>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</si>
  <si>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</si>
  <si>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</si>
  <si>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</si>
  <si>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</si>
  <si>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</si>
  <si>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</si>
  <si>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</si>
  <si>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</si>
  <si>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</si>
  <si>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</si>
  <si>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</si>
  <si>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</si>
  <si>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</si>
  <si>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</si>
  <si>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</si>
  <si>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</si>
  <si>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</si>
  <si>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</si>
  <si>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</si>
  <si>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</si>
  <si>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</si>
  <si>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</si>
  <si>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</si>
  <si>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</si>
  <si>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</si>
  <si>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</si>
  <si>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</si>
  <si>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</si>
  <si>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</si>
  <si>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</si>
  <si>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</si>
  <si>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</si>
  <si>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</si>
  <si>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</si>
  <si>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</si>
  <si>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</si>
  <si>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</si>
  <si>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</si>
  <si>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</si>
  <si>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</si>
  <si>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</si>
  <si>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</si>
  <si>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</si>
  <si>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</si>
  <si>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</si>
  <si>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</si>
  <si>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</si>
  <si>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</si>
  <si>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</si>
  <si>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</si>
  <si>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</si>
  <si>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</si>
  <si>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</si>
  <si>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</si>
  <si>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</si>
  <si>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</si>
  <si>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</si>
  <si>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</si>
  <si>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</si>
  <si>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</si>
  <si>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</si>
  <si>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</si>
  <si>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</si>
  <si>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</si>
  <si>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</si>
  <si>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</si>
  <si>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</si>
  <si>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</si>
  <si>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</si>
  <si>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</si>
  <si>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</si>
  <si>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</si>
  <si>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</si>
  <si>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</si>
  <si>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</si>
  <si>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</si>
  <si>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</si>
  <si>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</si>
  <si>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</si>
  <si>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</si>
  <si>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</si>
  <si>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</si>
  <si>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</si>
  <si>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</si>
  <si>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</si>
  <si>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</si>
  <si>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</si>
  <si>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</si>
  <si>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</si>
  <si>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</si>
  <si>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</si>
  <si>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</si>
  <si>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</si>
  <si>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</si>
  <si>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</si>
  <si>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</si>
  <si>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</si>
  <si>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</si>
  <si>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</si>
  <si>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</si>
  <si>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</si>
  <si>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</si>
  <si>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</si>
  <si>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</si>
  <si>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</si>
  <si>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</si>
  <si>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</si>
  <si>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</si>
  <si>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</si>
  <si>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</si>
  <si>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</si>
  <si>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</si>
  <si>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</si>
  <si>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</si>
  <si>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</si>
  <si>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</si>
  <si>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</si>
  <si>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</si>
  <si>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</si>
  <si>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</si>
  <si>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</si>
  <si>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</si>
  <si>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</si>
  <si>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</si>
  <si>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</si>
  <si>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</si>
  <si>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</si>
  <si>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</si>
  <si>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</si>
  <si>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</si>
  <si>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</si>
  <si>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</si>
  <si>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</si>
  <si>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</si>
  <si>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</si>
  <si>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</si>
  <si>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</si>
  <si>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</si>
  <si>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</si>
  <si>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</si>
  <si>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</si>
  <si>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</si>
  <si>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</si>
  <si>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</si>
  <si>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</si>
  <si>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</si>
  <si>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</si>
  <si>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</si>
  <si>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</si>
  <si>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</si>
  <si>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</si>
  <si>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</si>
  <si>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</si>
  <si>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</si>
  <si>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</si>
  <si>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</si>
  <si>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</si>
  <si>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</si>
  <si>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</si>
  <si>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</si>
  <si>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</si>
  <si>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</si>
  <si>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</si>
  <si>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</si>
  <si>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</si>
  <si>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</si>
  <si>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</si>
  <si>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</si>
  <si>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</si>
  <si>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</si>
  <si>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</si>
  <si>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</si>
  <si>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</si>
  <si>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</si>
  <si>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</si>
  <si>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</si>
  <si>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</si>
  <si>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</si>
  <si>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</si>
  <si>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</si>
  <si>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</si>
  <si>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</si>
  <si>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</si>
  <si>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</si>
  <si>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</si>
  <si>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</si>
  <si>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</si>
  <si>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</si>
  <si>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</si>
  <si>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</si>
  <si>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</si>
  <si>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</si>
  <si>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</si>
  <si>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</si>
  <si>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</si>
  <si>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</si>
  <si>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</si>
  <si>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</si>
  <si>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</si>
  <si>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</si>
  <si>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</si>
  <si>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</si>
  <si>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</si>
  <si>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</si>
  <si>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</si>
  <si>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</si>
  <si>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</si>
  <si>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</si>
  <si>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</si>
  <si>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</si>
  <si>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</si>
  <si>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</si>
  <si>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</si>
  <si>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</si>
  <si>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</si>
  <si>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</si>
  <si>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</si>
  <si>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</si>
  <si>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</si>
  <si>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</si>
  <si>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</si>
  <si>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</si>
  <si>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</si>
  <si>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</si>
  <si>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</si>
  <si>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</si>
  <si>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</si>
  <si>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</si>
  <si>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</si>
  <si>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</si>
  <si>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</si>
  <si>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</si>
  <si>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</si>
  <si>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</si>
  <si>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</si>
  <si>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</si>
  <si>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</si>
  <si>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</si>
  <si>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</si>
  <si>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</si>
  <si>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</si>
  <si>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</si>
  <si>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</si>
  <si>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</si>
  <si>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</si>
  <si>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</si>
  <si>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</si>
  <si>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</si>
  <si>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</si>
  <si>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</si>
  <si>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</si>
  <si>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</si>
  <si>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</si>
  <si>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</si>
  <si>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</si>
  <si>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</si>
  <si>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</si>
  <si>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</si>
  <si>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</si>
  <si>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</si>
  <si>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</si>
  <si>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</si>
  <si>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</si>
  <si>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</si>
  <si>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</si>
  <si>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</si>
  <si>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</si>
  <si>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</si>
  <si>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</si>
  <si>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</si>
  <si>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</si>
  <si>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</si>
  <si>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</si>
  <si>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</si>
  <si>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</si>
  <si>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</si>
  <si>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</si>
  <si>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</si>
  <si>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</si>
  <si>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</si>
  <si>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</si>
  <si>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</si>
  <si>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</si>
  <si>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</si>
  <si>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</si>
  <si>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</si>
  <si>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</si>
  <si>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</si>
  <si>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</si>
  <si>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</si>
  <si>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</si>
  <si>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</si>
  <si>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</si>
  <si>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</si>
  <si>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</si>
  <si>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</si>
  <si>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</si>
  <si>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</si>
  <si>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</si>
  <si>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</si>
  <si>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</si>
  <si>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</si>
  <si>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</si>
  <si>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</si>
  <si>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</si>
  <si>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</si>
  <si>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</si>
  <si>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</si>
  <si>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</si>
  <si>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</si>
  <si>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</si>
  <si>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</si>
  <si>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</si>
  <si>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</si>
  <si>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</si>
  <si>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</si>
  <si>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</si>
  <si>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</si>
  <si>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</si>
  <si>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</si>
  <si>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</si>
  <si>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</si>
  <si>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</si>
  <si>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</si>
  <si>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</si>
  <si>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</si>
  <si>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</si>
  <si>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</si>
  <si>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</si>
  <si>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</si>
  <si>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</si>
  <si>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</si>
  <si>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</si>
  <si>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</si>
  <si>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</si>
  <si>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</si>
  <si>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</si>
  <si>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</si>
  <si>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</si>
  <si>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</si>
  <si>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</si>
  <si>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</si>
  <si>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</si>
  <si>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</si>
  <si>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</si>
  <si>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</si>
  <si>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</si>
  <si>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</si>
  <si>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</si>
  <si>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</si>
  <si>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</si>
  <si>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</si>
  <si>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</si>
  <si>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</si>
  <si>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</si>
  <si>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</si>
  <si>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</si>
  <si>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</si>
  <si>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</si>
  <si>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</si>
  <si>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</si>
  <si>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</si>
  <si>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</si>
  <si>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</si>
  <si>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</si>
  <si>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</si>
  <si>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</si>
  <si>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</si>
  <si>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</si>
  <si>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</si>
  <si>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</si>
  <si>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</si>
  <si>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</si>
  <si>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</si>
  <si>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</si>
  <si>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</si>
  <si>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</si>
  <si>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</si>
  <si>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</si>
  <si>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</si>
  <si>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</si>
  <si>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</si>
  <si>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</si>
  <si>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</si>
  <si>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</si>
  <si>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</si>
  <si>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</si>
  <si>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</si>
  <si>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</si>
  <si>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</si>
  <si>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</si>
  <si>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</si>
  <si>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</si>
  <si>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</si>
  <si>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</si>
  <si>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</si>
  <si>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</si>
  <si>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</si>
  <si>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</si>
  <si>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</si>
  <si>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</si>
  <si>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</si>
  <si>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</si>
  <si>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</si>
  <si>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</si>
  <si>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</si>
  <si>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</si>
  <si>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</si>
  <si>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</si>
  <si>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</si>
  <si>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</si>
  <si>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</si>
  <si>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</si>
  <si>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</si>
  <si>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</si>
  <si>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</si>
  <si>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</si>
  <si>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</si>
  <si>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</si>
  <si>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</si>
  <si>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</si>
  <si>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</si>
  <si>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</si>
  <si>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</si>
  <si>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</si>
  <si>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</si>
  <si>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</si>
  <si>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</si>
  <si>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</si>
  <si>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</si>
  <si>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</si>
  <si>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</si>
  <si>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</si>
  <si>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</si>
  <si>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</si>
  <si>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</si>
  <si>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</si>
  <si>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</si>
  <si>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</si>
  <si>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</si>
  <si>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</si>
  <si>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</si>
  <si>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</si>
  <si>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</si>
  <si>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</si>
  <si>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</si>
  <si>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</si>
  <si>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</si>
  <si>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</si>
  <si>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</si>
  <si>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</si>
  <si>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</si>
  <si>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</si>
  <si>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</si>
  <si>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</si>
  <si>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</si>
  <si>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</si>
  <si>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</si>
  <si>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</si>
  <si>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</si>
  <si>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</si>
  <si>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</si>
  <si>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</si>
  <si>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</si>
  <si>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</si>
  <si>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</si>
  <si>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</si>
  <si>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</si>
  <si>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</si>
  <si>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</si>
  <si>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</si>
  <si>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</si>
  <si>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</si>
  <si>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</si>
  <si>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</si>
  <si>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</si>
  <si>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</si>
  <si>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</si>
  <si>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</si>
  <si>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</si>
  <si>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</si>
  <si>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</si>
  <si>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</si>
  <si>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</si>
  <si>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</si>
  <si>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</si>
  <si>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</si>
  <si>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</si>
  <si>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</si>
  <si>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</si>
  <si>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</si>
  <si>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</si>
  <si>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</si>
  <si>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</si>
  <si>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</si>
  <si>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</si>
  <si>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</si>
  <si>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</si>
  <si>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</si>
  <si>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</si>
  <si>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</si>
  <si>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</si>
  <si>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</si>
  <si>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</si>
  <si>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</si>
  <si>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</si>
  <si>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</si>
  <si>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</si>
  <si>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</si>
  <si>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</si>
  <si>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</si>
  <si>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</si>
  <si>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</si>
  <si>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</si>
  <si>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</si>
  <si>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</si>
  <si>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</si>
  <si>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</si>
  <si>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</si>
  <si>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</si>
  <si>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</si>
  <si>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</si>
  <si>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</si>
  <si>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</si>
  <si>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</si>
  <si>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</si>
  <si>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</si>
  <si>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</si>
  <si>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</si>
  <si>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</si>
  <si>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</si>
  <si>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</si>
  <si>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</si>
  <si>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</si>
  <si>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</si>
  <si>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</si>
  <si>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</si>
  <si>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</si>
  <si>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</si>
  <si>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</si>
  <si>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</si>
  <si>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</si>
  <si>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</si>
  <si>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</si>
  <si>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</si>
  <si>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</si>
  <si>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</si>
  <si>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</si>
  <si>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</si>
  <si>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</si>
  <si>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</si>
  <si>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</si>
  <si>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</si>
  <si>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</si>
  <si>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</si>
  <si>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</si>
  <si>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</si>
  <si>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</si>
  <si>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</si>
  <si>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</si>
  <si>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</si>
  <si>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</si>
  <si>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</si>
  <si>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</si>
  <si>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</si>
  <si>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</si>
  <si>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</si>
  <si>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</si>
  <si>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</si>
  <si>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</si>
  <si>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</si>
  <si>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</si>
  <si>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</si>
  <si>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</si>
  <si>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</si>
  <si>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</si>
  <si>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</si>
  <si>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</si>
  <si>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</si>
  <si>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</si>
  <si>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</si>
  <si>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</si>
  <si>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</si>
  <si>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</si>
  <si>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</si>
  <si>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</si>
  <si>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</si>
  <si>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</si>
  <si>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</si>
  <si>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</si>
  <si>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</si>
  <si>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</si>
  <si>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</si>
  <si>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</si>
  <si>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</si>
  <si>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</si>
  <si>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</si>
  <si>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</si>
  <si>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</si>
  <si>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</si>
  <si>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</si>
  <si>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</si>
  <si>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</si>
  <si>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</si>
  <si>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</si>
  <si>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</si>
  <si>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</si>
  <si>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</si>
  <si>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</si>
  <si>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</si>
  <si>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</si>
  <si>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</si>
  <si>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</si>
  <si>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</si>
  <si>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</si>
  <si>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</si>
  <si>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</si>
  <si>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</si>
  <si>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</si>
  <si>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</si>
  <si>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</si>
  <si>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</si>
  <si>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</si>
  <si>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</si>
  <si>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</si>
  <si>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</si>
  <si>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</si>
  <si>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</si>
  <si>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</si>
  <si>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</si>
  <si>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</si>
  <si>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</si>
  <si>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</si>
  <si>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</si>
  <si>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</si>
  <si>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</si>
  <si>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</si>
  <si>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</si>
  <si>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</si>
  <si>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</si>
  <si>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</si>
  <si>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</si>
  <si>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</si>
  <si>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</si>
  <si>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</si>
  <si>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</si>
  <si>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</si>
  <si>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</si>
  <si>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</si>
  <si>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</si>
  <si>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</si>
  <si>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</si>
  <si>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</si>
  <si>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</si>
  <si>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</si>
  <si>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</si>
  <si>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</si>
  <si>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</si>
  <si>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</si>
  <si>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</si>
  <si>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</si>
  <si>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</si>
  <si>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</si>
  <si>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</si>
  <si>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</si>
  <si>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</si>
  <si>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</si>
  <si>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</si>
  <si>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</si>
  <si>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</si>
  <si>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</si>
  <si>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</si>
  <si>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</si>
  <si>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</si>
  <si>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</si>
  <si>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</si>
  <si>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</si>
  <si>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</si>
  <si>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</si>
  <si>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</si>
  <si>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</si>
  <si>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</si>
  <si>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</si>
  <si>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</si>
  <si>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</si>
  <si>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</si>
  <si>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</si>
  <si>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</si>
  <si>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</si>
  <si>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</si>
  <si>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</si>
  <si>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</si>
  <si>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</si>
  <si>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</si>
  <si>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</si>
  <si>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</si>
  <si>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</si>
  <si>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</si>
  <si>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</si>
  <si>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</si>
  <si>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</si>
  <si>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</si>
  <si>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</si>
  <si>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</si>
  <si>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</si>
  <si>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</si>
  <si>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</si>
  <si>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</si>
  <si>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</si>
  <si>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</si>
  <si>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</si>
  <si>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</si>
  <si>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</si>
  <si>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</si>
  <si>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</si>
  <si>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</si>
  <si>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</si>
  <si>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</si>
  <si>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</si>
  <si>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</si>
  <si>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</si>
  <si>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</si>
  <si>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</si>
  <si>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</si>
  <si>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</si>
  <si>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</si>
  <si>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</si>
  <si>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</si>
  <si>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</si>
  <si>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</si>
  <si>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</si>
  <si>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</si>
  <si>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</si>
  <si>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</si>
  <si>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</si>
  <si>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</si>
  <si>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</si>
  <si>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</si>
  <si>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</si>
  <si>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</si>
  <si>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</si>
  <si>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</si>
  <si>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</si>
  <si>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</si>
  <si>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</si>
  <si>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</si>
  <si>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</si>
  <si>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</si>
  <si>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</si>
  <si>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</si>
  <si>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</si>
  <si>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</si>
  <si>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</si>
  <si>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</si>
  <si>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</si>
  <si>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</si>
  <si>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</si>
  <si>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</si>
  <si>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</si>
  <si>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</si>
  <si>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</si>
  <si>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</si>
  <si>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</si>
  <si>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</si>
  <si>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</si>
  <si>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</si>
  <si>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</si>
  <si>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</si>
  <si>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</si>
  <si>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</si>
  <si>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</si>
  <si>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</si>
  <si>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</si>
  <si>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</si>
  <si>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</si>
  <si>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</si>
  <si>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</si>
  <si>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</si>
  <si>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</si>
  <si>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</si>
  <si>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</si>
  <si>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</si>
  <si>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</si>
  <si>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</si>
  <si>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</si>
  <si>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</si>
  <si>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</si>
  <si>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</si>
  <si>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</si>
  <si>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</si>
  <si>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</si>
  <si>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</si>
  <si>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</si>
  <si>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</si>
  <si>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</si>
  <si>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</si>
  <si>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</si>
  <si>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</si>
  <si>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</si>
  <si>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</si>
  <si>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</si>
  <si>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</si>
  <si>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</si>
  <si>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</si>
  <si>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</si>
  <si>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</si>
  <si>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</si>
  <si>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</si>
  <si>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</si>
  <si>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</si>
  <si>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</si>
  <si>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</si>
  <si>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</si>
  <si>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</si>
  <si>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</si>
  <si>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</si>
  <si>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</si>
  <si>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</si>
  <si>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</si>
  <si>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</si>
  <si>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</si>
  <si>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</si>
  <si>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</si>
  <si>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</si>
  <si>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</si>
  <si>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</si>
  <si>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</si>
  <si>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</si>
  <si>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</si>
  <si>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</si>
  <si>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</si>
  <si>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</si>
  <si>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</si>
  <si>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</si>
  <si>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</si>
  <si>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</si>
  <si>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</si>
  <si>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</si>
  <si>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</si>
  <si>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</si>
  <si>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</si>
  <si>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</si>
  <si>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</si>
  <si>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</si>
  <si>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</si>
  <si>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</si>
  <si>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</si>
  <si>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</si>
  <si>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</si>
  <si>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</si>
  <si>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</si>
  <si>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</si>
  <si>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</si>
  <si>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</si>
  <si>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</si>
  <si>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</si>
  <si>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</si>
  <si>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</si>
  <si>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</si>
  <si>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</si>
  <si>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</si>
  <si>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</si>
  <si>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</si>
  <si>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</si>
  <si>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</si>
  <si>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</si>
  <si>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</si>
  <si>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</si>
  <si>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</si>
  <si>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</si>
  <si>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</si>
  <si>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</si>
  <si>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</si>
  <si>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</si>
  <si>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</si>
  <si>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</si>
  <si>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</si>
  <si>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</si>
  <si>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</si>
  <si>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</si>
  <si>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</si>
  <si>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</si>
  <si>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</si>
  <si>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</si>
  <si>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</si>
  <si>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</si>
  <si>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</si>
  <si>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</si>
  <si>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</si>
  <si>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</si>
  <si>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</si>
  <si>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</si>
  <si>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</si>
  <si>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</si>
  <si>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</si>
  <si>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</si>
  <si>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</si>
  <si>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</si>
  <si>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</si>
  <si>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</si>
  <si>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</si>
  <si>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</si>
  <si>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</si>
  <si>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</si>
  <si>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</si>
  <si>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</si>
  <si>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</si>
  <si>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</si>
  <si>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</si>
  <si>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</si>
  <si>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</si>
  <si>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</si>
  <si>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</si>
  <si>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</si>
  <si>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</si>
  <si>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</si>
  <si>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</si>
  <si>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</si>
  <si>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</si>
  <si>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</si>
  <si>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</si>
  <si>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</si>
  <si>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</si>
  <si>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</si>
  <si>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</si>
  <si>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</si>
  <si>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</si>
  <si>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</si>
  <si>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</si>
  <si>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</si>
  <si>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</si>
  <si>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</si>
  <si>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</si>
  <si>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</si>
  <si>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</si>
  <si>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</si>
  <si>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</si>
  <si>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</si>
  <si>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</si>
  <si>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</si>
  <si>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</si>
  <si>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</si>
  <si>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</si>
  <si>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</si>
  <si>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</si>
  <si>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</si>
  <si>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</si>
  <si>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</si>
  <si>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</si>
  <si>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</si>
  <si>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</si>
  <si>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</si>
  <si>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</si>
  <si>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</si>
  <si>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</si>
  <si>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</si>
  <si>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</si>
  <si>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</si>
  <si>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</si>
  <si>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</si>
  <si>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</si>
  <si>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</si>
  <si>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</si>
  <si>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</si>
  <si>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</si>
  <si>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</si>
  <si>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</si>
  <si>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</si>
  <si>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</si>
  <si>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</si>
  <si>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</si>
  <si>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</si>
  <si>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</si>
  <si>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</si>
  <si>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</si>
  <si>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</si>
  <si>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</si>
  <si>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</si>
  <si>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</si>
  <si>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</si>
  <si>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</si>
  <si>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</si>
  <si>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</si>
  <si>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</si>
  <si>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</si>
  <si>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</si>
  <si>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</si>
  <si>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</si>
  <si>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</si>
  <si>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</si>
  <si>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</si>
  <si>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</si>
  <si>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</si>
  <si>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</si>
  <si>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</si>
  <si>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</si>
  <si>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</si>
  <si>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</si>
  <si>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</si>
  <si>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</si>
  <si>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</si>
  <si>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</si>
  <si>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</si>
  <si>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</si>
  <si>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</si>
  <si>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</si>
  <si>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</si>
  <si>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</si>
  <si>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</si>
  <si>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</si>
  <si>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</si>
  <si>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</si>
  <si>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</si>
  <si>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</si>
  <si>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</si>
  <si>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</si>
  <si>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</si>
  <si>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</si>
  <si>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</si>
  <si>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</si>
  <si>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</si>
  <si>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</si>
  <si>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</si>
  <si>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</si>
  <si>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</si>
  <si>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</si>
  <si>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</si>
  <si>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</si>
  <si>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</si>
  <si>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</si>
  <si>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</si>
  <si>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</si>
  <si>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</si>
  <si>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</si>
  <si>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</si>
  <si>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</si>
  <si>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</si>
  <si>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</si>
  <si>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</si>
  <si>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</si>
  <si>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</si>
  <si>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</si>
  <si>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</si>
  <si>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</si>
  <si>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</si>
  <si>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</si>
  <si>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</si>
  <si>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</si>
  <si>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</si>
  <si>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</si>
  <si>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</si>
  <si>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</si>
  <si>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</si>
  <si>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</si>
  <si>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</si>
  <si>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</si>
  <si>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</si>
  <si>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</si>
  <si>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</si>
  <si>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</si>
  <si>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</si>
  <si>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</si>
  <si>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</si>
  <si>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</si>
  <si>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</si>
  <si>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</si>
  <si>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</si>
  <si>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</si>
  <si>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</si>
  <si>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</si>
  <si>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</si>
  <si>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</si>
  <si>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</si>
  <si>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</si>
  <si>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</si>
  <si>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</si>
  <si>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</si>
  <si>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</si>
  <si>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</si>
  <si>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</si>
  <si>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</si>
  <si>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</si>
  <si>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</si>
  <si>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</si>
  <si>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</si>
  <si>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</si>
  <si>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</si>
  <si>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</si>
  <si>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</si>
  <si>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</si>
  <si>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</si>
  <si>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</si>
  <si>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</si>
  <si>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</si>
  <si>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</si>
  <si>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</si>
  <si>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</si>
  <si>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</si>
  <si>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</si>
  <si>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</si>
  <si>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</si>
  <si>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</si>
  <si>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</si>
  <si>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</si>
  <si>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</si>
  <si>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</si>
  <si>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</si>
  <si>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</si>
  <si>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</si>
  <si>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</si>
  <si>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</si>
  <si>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</si>
  <si>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</si>
  <si>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</si>
  <si>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</si>
  <si>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</si>
  <si>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</si>
  <si>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</si>
  <si>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</si>
  <si>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</si>
  <si>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</si>
  <si>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</si>
  <si>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</si>
  <si>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</si>
  <si>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</si>
  <si>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</si>
  <si>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</si>
  <si>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</si>
  <si>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</si>
  <si>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</si>
  <si>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</si>
  <si>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</si>
  <si>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</si>
  <si>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</si>
  <si>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</si>
  <si>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</si>
  <si>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</si>
  <si>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</si>
  <si>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</si>
  <si>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</si>
  <si>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</si>
  <si>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</si>
  <si>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</si>
  <si>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</si>
  <si>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</si>
  <si>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</si>
  <si>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</si>
  <si>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</si>
  <si>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</si>
  <si>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</si>
  <si>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</si>
  <si>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</si>
  <si>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</si>
  <si>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</si>
  <si>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</si>
  <si>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</si>
  <si>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</si>
  <si>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</si>
  <si>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</si>
  <si>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</si>
  <si>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</si>
  <si>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</si>
  <si>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</si>
  <si>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</si>
  <si>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</si>
  <si>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</si>
  <si>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</si>
  <si>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</si>
  <si>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</si>
  <si>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</si>
  <si>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</si>
  <si>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</si>
  <si>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</si>
  <si>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</si>
  <si>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</si>
  <si>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</si>
  <si>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</si>
  <si>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</si>
  <si>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</si>
  <si>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</si>
  <si>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</si>
  <si>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</si>
  <si>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</si>
  <si>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</si>
  <si>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</si>
  <si>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</si>
  <si>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</si>
  <si>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</si>
  <si>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</si>
  <si>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</si>
  <si>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</si>
  <si>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</si>
  <si>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</si>
  <si>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</si>
  <si>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</si>
  <si>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</si>
  <si>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</si>
  <si>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</si>
  <si>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</si>
  <si>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</si>
  <si>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</si>
  <si>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</si>
  <si>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</si>
  <si>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</si>
  <si>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</si>
  <si>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</si>
  <si>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</si>
  <si>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</si>
  <si>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</si>
  <si>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</si>
  <si>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</si>
  <si>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</si>
  <si>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</si>
  <si>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</si>
  <si>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</si>
  <si>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</si>
  <si>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</si>
  <si>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</si>
  <si>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</si>
  <si>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</si>
  <si>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</si>
  <si>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</si>
  <si>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</si>
  <si>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</si>
  <si>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</si>
  <si>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</si>
  <si>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</si>
  <si>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</si>
  <si>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</si>
  <si>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</si>
  <si>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</si>
  <si>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</si>
  <si>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</si>
  <si>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</si>
  <si>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</si>
  <si>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</si>
  <si>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</si>
  <si>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</si>
  <si>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</si>
  <si>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</si>
  <si>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</si>
  <si>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</si>
  <si>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</si>
  <si>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</si>
  <si>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</si>
  <si>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</si>
  <si>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</si>
  <si>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</si>
  <si>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</si>
  <si>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</si>
  <si>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</si>
  <si>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</si>
  <si>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</si>
  <si>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</si>
  <si>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</si>
  <si>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</si>
  <si>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</si>
  <si>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</si>
  <si>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</si>
  <si>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</si>
  <si>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</si>
  <si>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</si>
  <si>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</si>
  <si>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</si>
  <si>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</si>
  <si>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</si>
  <si>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</si>
  <si>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</si>
  <si>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</si>
  <si>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</si>
  <si>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</si>
  <si>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</si>
  <si>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</si>
  <si>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</si>
  <si>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</si>
  <si>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</si>
  <si>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</si>
  <si>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</si>
  <si>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</si>
  <si>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</si>
  <si>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</si>
  <si>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</si>
  <si>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</si>
  <si>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</si>
  <si>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</si>
  <si>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</si>
  <si>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</si>
  <si>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</si>
  <si>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</si>
  <si>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</si>
  <si>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</si>
  <si>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</si>
  <si>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</si>
  <si>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</si>
  <si>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</si>
  <si>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</si>
  <si>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</si>
  <si>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</si>
  <si>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</si>
  <si>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</si>
  <si>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</si>
  <si>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</si>
  <si>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</si>
  <si>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</si>
  <si>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</si>
  <si>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</si>
  <si>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</si>
  <si>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</si>
  <si>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</si>
  <si>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</si>
  <si>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</si>
  <si>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</si>
  <si>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</si>
  <si>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</si>
  <si>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</si>
  <si>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</si>
  <si>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</si>
  <si>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</si>
  <si>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</si>
  <si>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</si>
  <si>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</si>
  <si>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</si>
  <si>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</si>
  <si>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</si>
  <si>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</si>
  <si>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</si>
  <si>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</si>
  <si>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</si>
  <si>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</si>
  <si>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</si>
  <si>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</si>
  <si>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</si>
  <si>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</si>
  <si>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</si>
  <si>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</si>
  <si>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</si>
  <si>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</si>
  <si>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</si>
  <si>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</si>
  <si>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</si>
  <si>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</si>
  <si>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</si>
  <si>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</si>
  <si>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</si>
  <si>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</si>
  <si>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</si>
  <si>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</si>
  <si>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</si>
  <si>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</si>
  <si>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</si>
  <si>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</si>
  <si>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</si>
  <si>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</si>
  <si>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</si>
  <si>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</si>
  <si>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</si>
  <si>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</si>
  <si>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</si>
  <si>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</si>
  <si>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</si>
  <si>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</si>
  <si>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</si>
  <si>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</si>
  <si>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</si>
  <si>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</si>
  <si>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</si>
  <si>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</si>
  <si>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</si>
  <si>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</si>
  <si>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</si>
  <si>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</si>
  <si>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</si>
  <si>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</si>
  <si>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</si>
  <si>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</si>
  <si>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</si>
  <si>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</si>
  <si>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</si>
  <si>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</si>
  <si>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</si>
  <si>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</si>
  <si>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</si>
  <si>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</si>
  <si>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</si>
  <si>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</si>
  <si>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</si>
  <si>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</si>
  <si>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</si>
  <si>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</si>
  <si>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</si>
  <si>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</si>
  <si>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</si>
  <si>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</si>
  <si>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</si>
  <si>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</si>
  <si>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</si>
  <si>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</si>
  <si>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</si>
  <si>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</si>
  <si>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</si>
  <si>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</si>
  <si>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</si>
  <si>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</si>
  <si>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</si>
  <si>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</si>
  <si>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</si>
  <si>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</si>
  <si>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</si>
  <si>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</si>
  <si>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</si>
  <si>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</si>
  <si>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</si>
  <si>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</si>
  <si>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</si>
  <si>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</si>
  <si>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</si>
  <si>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</si>
  <si>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</si>
  <si>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</si>
  <si>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</si>
  <si>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</si>
  <si>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</si>
  <si>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</si>
  <si>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</si>
  <si>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</si>
  <si>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</si>
  <si>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</si>
  <si>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</si>
  <si>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</si>
  <si>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</si>
  <si>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</si>
  <si>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</si>
  <si>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</si>
  <si>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</si>
  <si>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</si>
  <si>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</si>
  <si>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</si>
  <si>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</si>
  <si>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</si>
  <si>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</si>
  <si>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</si>
  <si>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</si>
  <si>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</si>
  <si>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</si>
  <si>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</si>
  <si>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</si>
  <si>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</si>
  <si>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</si>
  <si>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</si>
  <si>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</si>
  <si>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</si>
  <si>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</si>
  <si>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</si>
  <si>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</si>
  <si>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</si>
  <si>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</si>
  <si>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</si>
  <si>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</si>
  <si>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</si>
  <si>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</si>
  <si>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</si>
  <si>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</si>
  <si>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</si>
  <si>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</si>
  <si>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</si>
  <si>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</si>
  <si>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</si>
  <si>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</si>
  <si>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</si>
  <si>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</si>
  <si>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</si>
  <si>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</si>
  <si>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</si>
  <si>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</si>
  <si>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</si>
  <si>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</si>
  <si>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</si>
  <si>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</si>
  <si>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</si>
  <si>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</si>
  <si>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</si>
  <si>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</si>
  <si>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</si>
  <si>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</si>
  <si>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</si>
  <si>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</si>
  <si>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</si>
  <si>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</si>
  <si>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</si>
  <si>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</si>
  <si>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</si>
  <si>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</si>
  <si>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</si>
  <si>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</si>
  <si>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</si>
  <si>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</si>
  <si>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</si>
  <si>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</si>
  <si>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</si>
  <si>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</si>
  <si>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</si>
  <si>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</si>
  <si>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</si>
  <si>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</si>
  <si>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</si>
  <si>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</si>
  <si>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</si>
  <si>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</si>
  <si>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</si>
  <si>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</si>
  <si>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</si>
  <si>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</si>
  <si>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</si>
  <si>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</si>
  <si>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</si>
  <si>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</si>
  <si>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</si>
  <si>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</si>
  <si>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</si>
  <si>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</si>
  <si>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</si>
  <si>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</si>
  <si>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</si>
  <si>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</si>
  <si>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</si>
  <si>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</si>
  <si>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</si>
  <si>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</si>
  <si>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</si>
  <si>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</si>
  <si>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</si>
  <si>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</si>
  <si>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</si>
  <si>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</si>
  <si>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</si>
  <si>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</si>
  <si>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</si>
  <si>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</si>
  <si>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</si>
  <si>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</si>
  <si>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</si>
  <si>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</si>
  <si>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</si>
  <si>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</si>
  <si>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</si>
  <si>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</si>
  <si>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</si>
  <si>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</si>
  <si>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</si>
  <si>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</si>
  <si>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</si>
  <si>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</si>
  <si>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</si>
  <si>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</si>
  <si>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</si>
  <si>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</si>
  <si>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</si>
  <si>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</si>
  <si>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</si>
  <si>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</si>
  <si>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</si>
  <si>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</si>
  <si>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</si>
  <si>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</si>
  <si>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</si>
  <si>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</si>
  <si>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</si>
  <si>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</si>
  <si>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</si>
  <si>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</si>
  <si>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</si>
  <si>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</si>
  <si>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</si>
  <si>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</si>
  <si>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</si>
  <si>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</si>
  <si>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</si>
  <si>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</si>
  <si>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</si>
  <si>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</si>
  <si>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</si>
  <si>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</si>
  <si>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</si>
  <si>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</si>
  <si>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</si>
  <si>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</si>
  <si>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</si>
  <si>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</si>
  <si>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</si>
  <si>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</si>
  <si>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</si>
  <si>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</si>
  <si>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</si>
  <si>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</si>
  <si>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</si>
  <si>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</si>
  <si>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</si>
  <si>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</si>
  <si>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</si>
  <si>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</si>
  <si>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</si>
  <si>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</si>
  <si>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</si>
  <si>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</si>
  <si>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</si>
  <si>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</si>
  <si>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</si>
  <si>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</si>
  <si>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</si>
  <si>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</si>
  <si>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</si>
  <si>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</si>
  <si>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</si>
  <si>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</si>
  <si>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</si>
  <si>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</si>
  <si>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</si>
  <si>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</si>
  <si>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</si>
  <si>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</si>
  <si>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</si>
  <si>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</si>
  <si>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</si>
  <si>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</si>
  <si>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</si>
  <si>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</si>
  <si>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</si>
  <si>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</si>
  <si>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</si>
  <si>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</si>
  <si>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</si>
  <si>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</si>
  <si>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</si>
  <si>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</si>
  <si>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</si>
  <si>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</si>
  <si>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</si>
  <si>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</si>
  <si>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</si>
  <si>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</si>
  <si>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</si>
  <si>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</si>
  <si>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</si>
  <si>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</si>
  <si>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</si>
  <si>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</si>
  <si>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</si>
  <si>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</si>
  <si>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</si>
  <si>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</si>
  <si>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</si>
  <si>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</si>
  <si>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</si>
  <si>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</si>
  <si>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</si>
  <si>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</si>
  <si>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</si>
  <si>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</si>
  <si>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</si>
  <si>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</si>
  <si>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</si>
  <si>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</si>
  <si>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</si>
  <si>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</si>
  <si>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</si>
  <si>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</si>
  <si>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</si>
  <si>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</si>
  <si>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</si>
  <si>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</si>
  <si>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</si>
  <si>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</si>
  <si>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</si>
  <si>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</si>
  <si>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</si>
  <si>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</si>
  <si>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</si>
  <si>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</si>
  <si>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</si>
  <si>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</si>
  <si>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</si>
  <si>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</si>
  <si>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</si>
  <si>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</si>
  <si>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</si>
  <si>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</si>
  <si>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</si>
  <si>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</si>
  <si>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</si>
  <si>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</si>
  <si>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</si>
  <si>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</si>
  <si>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</si>
  <si>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</si>
  <si>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</si>
  <si>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</si>
  <si>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</si>
  <si>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</si>
  <si>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</si>
  <si>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</si>
  <si>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</si>
  <si>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</si>
  <si>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</si>
  <si>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</si>
  <si>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</si>
  <si>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</si>
  <si>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</si>
  <si>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</si>
  <si>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</si>
  <si>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</si>
  <si>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</si>
  <si>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</si>
  <si>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</si>
  <si>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</si>
  <si>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</si>
  <si>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</si>
  <si>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</si>
  <si>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</si>
  <si>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</si>
  <si>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</si>
  <si>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</si>
  <si>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</si>
  <si>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</si>
  <si>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</si>
  <si>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</si>
  <si>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</si>
  <si>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</si>
  <si>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</si>
  <si>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</si>
  <si>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</si>
  <si>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</si>
  <si>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</si>
  <si>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</si>
  <si>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</si>
  <si>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</si>
  <si>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</si>
  <si>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</si>
  <si>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</si>
  <si>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</si>
  <si>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</si>
  <si>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</si>
  <si>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</si>
  <si>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</si>
  <si>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</si>
  <si>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</si>
  <si>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</si>
  <si>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</si>
  <si>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</si>
  <si>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</si>
  <si>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</si>
  <si>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</si>
  <si>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</si>
  <si>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</si>
  <si>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</si>
  <si>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</si>
  <si>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</si>
  <si>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</si>
  <si>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</si>
  <si>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</si>
  <si>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</si>
  <si>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</si>
  <si>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</si>
  <si>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</si>
  <si>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</si>
  <si>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</si>
  <si>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</si>
  <si>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</si>
  <si>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</si>
  <si>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</si>
  <si>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</si>
  <si>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</si>
  <si>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</si>
  <si>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</si>
  <si>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</si>
  <si>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</si>
  <si>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</si>
  <si>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</si>
  <si>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</si>
  <si>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</si>
  <si>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</si>
  <si>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</si>
  <si>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</si>
  <si>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</si>
  <si>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</si>
  <si>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</si>
  <si>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</si>
  <si>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</si>
  <si>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</si>
  <si>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</si>
  <si>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</si>
  <si>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</si>
  <si>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</si>
  <si>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</si>
  <si>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</si>
  <si>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</si>
  <si>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</si>
  <si>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</si>
  <si>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</si>
  <si>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</si>
  <si>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</si>
  <si>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</si>
  <si>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</si>
  <si>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</si>
  <si>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</si>
  <si>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</si>
  <si>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</si>
  <si>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</si>
  <si>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</si>
  <si>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</si>
  <si>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</si>
  <si>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</si>
  <si>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</si>
  <si>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</si>
  <si>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</si>
  <si>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</si>
  <si>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</si>
  <si>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</si>
  <si>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</si>
  <si>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</si>
  <si>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</si>
  <si>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</si>
  <si>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</si>
  <si>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</si>
  <si>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</si>
  <si>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</si>
  <si>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</si>
  <si>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</si>
  <si>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</si>
  <si>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</si>
  <si>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</si>
  <si>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</si>
  <si>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</si>
  <si>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</si>
  <si>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</si>
  <si>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</si>
  <si>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</si>
  <si>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</si>
  <si>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</si>
  <si>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</si>
  <si>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</si>
  <si>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</si>
  <si>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</si>
  <si>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</si>
  <si>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</si>
  <si>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</si>
  <si>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</si>
  <si>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</si>
  <si>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</si>
  <si>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</si>
  <si>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</si>
  <si>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</si>
  <si>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</si>
  <si>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</si>
  <si>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</si>
  <si>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</si>
  <si>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</si>
  <si>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</si>
  <si>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</si>
  <si>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</si>
  <si>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</si>
  <si>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</si>
  <si>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</si>
  <si>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</si>
  <si>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</si>
  <si>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</si>
  <si>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</si>
  <si>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</si>
  <si>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</si>
  <si>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</si>
  <si>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</si>
  <si>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</si>
  <si>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</si>
  <si>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</si>
  <si>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</si>
  <si>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</si>
  <si>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</si>
  <si>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</si>
  <si>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</si>
  <si>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</si>
  <si>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</si>
  <si>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</si>
  <si>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</si>
  <si>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</si>
  <si>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</si>
  <si>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</si>
  <si>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</si>
  <si>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</si>
  <si>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</si>
  <si>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</si>
  <si>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</si>
  <si>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</si>
  <si>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</si>
  <si>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</si>
  <si>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</si>
  <si>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</si>
  <si>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</si>
  <si>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</si>
  <si>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</si>
  <si>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</si>
  <si>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</si>
  <si>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</si>
  <si>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</si>
  <si>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</si>
  <si>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</si>
  <si>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</si>
  <si>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</si>
  <si>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</si>
  <si>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</si>
  <si>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</si>
  <si>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</si>
  <si>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</si>
  <si>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</si>
  <si>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</si>
  <si>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</si>
  <si>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</si>
  <si>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</si>
  <si>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</si>
  <si>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</si>
  <si>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</si>
  <si>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</si>
  <si>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</si>
  <si>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</si>
  <si>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</si>
  <si>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</si>
  <si>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</si>
  <si>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</si>
  <si>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</si>
  <si>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</si>
  <si>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</si>
  <si>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</si>
  <si>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</si>
  <si>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</si>
  <si>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</si>
  <si>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</si>
  <si>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</si>
  <si>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</si>
  <si>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</si>
  <si>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</si>
  <si>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</si>
  <si>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</si>
  <si>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</si>
  <si>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</si>
  <si>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</si>
  <si>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</si>
  <si>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</si>
  <si>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</si>
  <si>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</si>
  <si>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</si>
  <si>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</si>
  <si>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</si>
  <si>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</si>
  <si>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</si>
  <si>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</si>
  <si>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</si>
  <si>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</si>
  <si>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</si>
  <si>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</si>
  <si>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</si>
  <si>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</si>
  <si>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</si>
  <si>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</si>
  <si>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</si>
  <si>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</si>
  <si>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</si>
  <si>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</si>
  <si>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</si>
  <si>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</si>
  <si>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</si>
  <si>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</si>
  <si>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</si>
  <si>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</si>
  <si>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</si>
  <si>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</si>
  <si>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</si>
  <si>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</si>
  <si>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</si>
  <si>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</si>
  <si>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</si>
  <si>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</si>
  <si>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</si>
  <si>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</si>
  <si>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</si>
  <si>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</si>
  <si>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</si>
  <si>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</si>
  <si>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</si>
  <si>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</si>
  <si>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</si>
  <si>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</si>
  <si>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</si>
  <si>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</si>
  <si>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</si>
  <si>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</si>
  <si>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</si>
  <si>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</si>
  <si>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</si>
  <si>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</si>
  <si>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</si>
  <si>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</si>
  <si>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</si>
  <si>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</si>
  <si>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</si>
  <si>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</si>
  <si>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</si>
  <si>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</si>
  <si>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</si>
  <si>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</si>
  <si>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</si>
  <si>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</si>
  <si>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</si>
  <si>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</si>
  <si>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</si>
  <si>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</si>
  <si>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</si>
  <si>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</si>
  <si>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</si>
  <si>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</si>
  <si>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</si>
  <si>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</si>
  <si>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</si>
  <si>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</si>
  <si>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</si>
  <si>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</si>
  <si>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</si>
  <si>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</si>
  <si>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</si>
  <si>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</si>
  <si>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</si>
  <si>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</si>
  <si>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</si>
  <si>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</si>
  <si>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</si>
  <si>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</si>
  <si>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</si>
  <si>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</si>
  <si>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</si>
  <si>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</si>
  <si>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</si>
  <si>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</si>
  <si>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</si>
  <si>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</si>
  <si>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</si>
  <si>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</si>
  <si>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</si>
  <si>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</si>
  <si>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</si>
  <si>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</si>
  <si>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</si>
  <si>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</si>
  <si>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</si>
  <si>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</si>
  <si>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</si>
  <si>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</si>
  <si>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</si>
  <si>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</si>
  <si>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</si>
  <si>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</si>
  <si>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</si>
  <si>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</si>
  <si>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</si>
  <si>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</si>
  <si>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</si>
  <si>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</si>
  <si>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</si>
  <si>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</si>
  <si>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</si>
  <si>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</si>
  <si>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</si>
  <si>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</si>
  <si>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</si>
  <si>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</si>
  <si>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</si>
  <si>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</si>
  <si>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</si>
  <si>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</si>
  <si>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</si>
  <si>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</si>
  <si>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</si>
  <si>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</si>
  <si>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</si>
  <si>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</si>
  <si>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</si>
  <si>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</si>
  <si>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</si>
  <si>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</si>
  <si>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</si>
  <si>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</si>
  <si>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</si>
  <si>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</si>
  <si>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</si>
  <si>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</si>
  <si>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</si>
  <si>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</si>
  <si>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</si>
  <si>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</si>
  <si>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</si>
  <si>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</si>
  <si>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</si>
  <si>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</si>
  <si>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</si>
  <si>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</si>
  <si>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</si>
  <si>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</si>
  <si>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</si>
  <si>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</si>
  <si>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</si>
  <si>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</si>
  <si>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</si>
  <si>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</si>
  <si>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</si>
  <si>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</si>
  <si>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</si>
  <si>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</si>
  <si>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</si>
  <si>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</si>
  <si>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</si>
  <si>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</si>
  <si>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</si>
  <si>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</si>
  <si>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</si>
  <si>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</si>
  <si>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</si>
  <si>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</si>
  <si>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</si>
  <si>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</si>
  <si>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</si>
  <si>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</si>
  <si>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</si>
  <si>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</si>
  <si>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</si>
  <si>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</si>
  <si>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</si>
  <si>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</si>
  <si>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</si>
  <si>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</si>
  <si>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</si>
  <si>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</si>
  <si>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</si>
  <si>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</si>
  <si>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</si>
  <si>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</si>
  <si>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</si>
  <si>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</si>
  <si>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</si>
  <si>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</si>
  <si>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</si>
  <si>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</si>
  <si>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</si>
  <si>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</si>
  <si>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</si>
  <si>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</si>
  <si>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</si>
  <si>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</si>
  <si>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</si>
  <si>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</si>
  <si>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</si>
  <si>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</si>
  <si>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</si>
  <si>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</si>
  <si>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</si>
  <si>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</si>
  <si>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</si>
  <si>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</si>
  <si>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</si>
  <si>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</si>
  <si>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</si>
  <si>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</si>
  <si>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</si>
  <si>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</si>
  <si>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</si>
  <si>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</si>
  <si>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</si>
  <si>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</si>
  <si>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</si>
  <si>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</si>
  <si>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</si>
  <si>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</si>
  <si>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</si>
  <si>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</si>
  <si>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</si>
  <si>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</si>
  <si>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</si>
  <si>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</si>
  <si>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</si>
  <si>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</si>
  <si>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</si>
  <si>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</si>
  <si>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</si>
  <si>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</si>
  <si>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</si>
  <si>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</si>
  <si>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</si>
  <si>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</si>
  <si>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</si>
  <si>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</si>
  <si>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</si>
  <si>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</si>
  <si>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</si>
  <si>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</si>
  <si>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</si>
  <si>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</si>
  <si>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</si>
  <si>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</si>
  <si>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</si>
  <si>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</si>
  <si>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</si>
  <si>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</si>
  <si>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</si>
  <si>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</si>
  <si>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</si>
  <si>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</si>
  <si>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</si>
  <si>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</si>
  <si>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</si>
  <si>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</si>
  <si>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</si>
  <si>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</si>
  <si>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</si>
  <si>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</si>
  <si>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</si>
  <si>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</si>
  <si>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</si>
  <si>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</si>
  <si>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</si>
  <si>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</si>
  <si>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</si>
  <si>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</si>
  <si>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</si>
  <si>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</si>
  <si>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</si>
  <si>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</si>
  <si>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</si>
  <si>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</si>
  <si>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</si>
  <si>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</si>
  <si>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</si>
  <si>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</si>
  <si>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</si>
  <si>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</si>
  <si>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</si>
  <si>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</si>
  <si>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</si>
  <si>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</si>
  <si>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</si>
  <si>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</si>
  <si>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</si>
  <si>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</si>
  <si>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</si>
  <si>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</si>
  <si>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</si>
  <si>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</si>
  <si>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</si>
  <si>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</si>
  <si>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</si>
  <si>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</si>
  <si>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</si>
  <si>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</si>
  <si>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</si>
  <si>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</si>
  <si>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</si>
  <si>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</si>
  <si>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</si>
  <si>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</si>
  <si>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</si>
  <si>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</si>
  <si>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</si>
  <si>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</si>
  <si>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</si>
  <si>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</si>
  <si>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</si>
  <si>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</si>
  <si>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</si>
  <si>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</si>
  <si>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</si>
  <si>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</si>
  <si>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</si>
  <si>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</si>
  <si>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</si>
  <si>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</si>
  <si>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</si>
  <si>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</si>
  <si>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</si>
  <si>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</si>
  <si>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</si>
  <si>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</si>
  <si>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</si>
  <si>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</si>
  <si>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</si>
  <si>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</si>
  <si>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</si>
  <si>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</si>
  <si>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</si>
  <si>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</si>
  <si>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</si>
  <si>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</si>
  <si>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</si>
  <si>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</si>
  <si>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</si>
  <si>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</si>
  <si>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</si>
  <si>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</si>
  <si>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</si>
  <si>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</si>
  <si>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</si>
  <si>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</si>
  <si>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</si>
  <si>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</si>
  <si>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</si>
  <si>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</si>
  <si>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</si>
  <si>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</si>
  <si>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</si>
  <si>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</si>
  <si>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</si>
  <si>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</si>
  <si>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</si>
  <si>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</si>
  <si>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</si>
  <si>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</si>
  <si>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</si>
  <si>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</si>
  <si>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</si>
  <si>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</si>
  <si>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</si>
  <si>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</si>
  <si>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</si>
  <si>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</si>
  <si>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</si>
  <si>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</si>
  <si>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</si>
  <si>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</si>
  <si>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</si>
  <si>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</si>
  <si>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</si>
  <si>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</si>
  <si>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</si>
  <si>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</si>
  <si>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</si>
  <si>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</si>
  <si>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</si>
  <si>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</si>
  <si>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</si>
  <si>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</si>
  <si>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</si>
  <si>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</si>
  <si>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</si>
  <si>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</si>
  <si>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</si>
  <si>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</si>
  <si>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</si>
  <si>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</si>
  <si>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</si>
  <si>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</si>
  <si>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</si>
  <si>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</si>
  <si>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</si>
  <si>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</si>
  <si>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</si>
  <si>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</si>
  <si>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</si>
  <si>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</si>
  <si>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</si>
  <si>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</si>
  <si>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</si>
  <si>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</si>
  <si>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</si>
  <si>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</si>
  <si>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</si>
  <si>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</si>
  <si>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</si>
  <si>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</si>
  <si>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</si>
  <si>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</si>
  <si>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</si>
  <si>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</si>
  <si>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</si>
  <si>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</si>
  <si>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</si>
  <si>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</si>
  <si>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</si>
  <si>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</si>
  <si>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</si>
  <si>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</si>
  <si>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</si>
  <si>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</si>
  <si>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</si>
  <si>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</si>
  <si>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</si>
  <si>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</si>
  <si>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</si>
  <si>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</si>
  <si>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</si>
  <si>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</si>
  <si>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</si>
  <si>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</si>
  <si>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</si>
  <si>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</si>
  <si>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</si>
  <si>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</si>
  <si>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</si>
  <si>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</si>
  <si>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</si>
  <si>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</si>
  <si>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</si>
  <si>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</si>
  <si>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</si>
  <si>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</si>
  <si>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</si>
  <si>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</si>
  <si>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</si>
  <si>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</si>
  <si>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</si>
  <si>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</si>
  <si>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</si>
  <si>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</si>
  <si>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</si>
  <si>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</si>
  <si>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</si>
  <si>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</si>
  <si>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</si>
  <si>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</si>
  <si>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</si>
  <si>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</si>
  <si>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</si>
  <si>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</si>
  <si>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</si>
  <si>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</si>
  <si>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</si>
  <si>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</si>
  <si>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</si>
  <si>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</si>
  <si>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</si>
  <si>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</si>
  <si>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</si>
  <si>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</si>
  <si>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</si>
  <si>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</si>
  <si>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</si>
  <si>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</si>
  <si>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</si>
  <si>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</si>
  <si>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</si>
  <si>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</si>
  <si>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</si>
  <si>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</si>
  <si>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</si>
  <si>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</si>
  <si>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</si>
  <si>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</si>
  <si>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</si>
  <si>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</si>
  <si>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</si>
  <si>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</si>
  <si>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</si>
  <si>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</si>
  <si>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</si>
  <si>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</si>
  <si>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</si>
  <si>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</si>
  <si>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</si>
  <si>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</si>
  <si>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</si>
  <si>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</si>
  <si>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</si>
  <si>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</si>
  <si>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</si>
  <si>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</si>
  <si>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</si>
  <si>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</si>
  <si>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</si>
  <si>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</si>
  <si>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</si>
  <si>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</si>
  <si>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</si>
  <si>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</si>
  <si>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</si>
  <si>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</si>
  <si>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</si>
  <si>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</si>
  <si>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</si>
  <si>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</si>
  <si>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</si>
  <si>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</si>
  <si>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</si>
  <si>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</si>
  <si>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</si>
  <si>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</si>
  <si>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</si>
  <si>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</si>
  <si>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</si>
  <si>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</si>
  <si>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</si>
  <si>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</si>
  <si>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</si>
  <si>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</si>
  <si>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</si>
  <si>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</si>
  <si>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</si>
  <si>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</si>
  <si>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</si>
  <si>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</si>
  <si>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</si>
  <si>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</si>
  <si>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</si>
  <si>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</si>
  <si>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</si>
  <si>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</si>
  <si>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</si>
  <si>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</si>
  <si>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</si>
  <si>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</si>
  <si>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</si>
  <si>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</si>
  <si>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</si>
  <si>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</si>
  <si>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</si>
  <si>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</si>
  <si>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</si>
  <si>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</si>
  <si>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</si>
  <si>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</si>
  <si>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</si>
  <si>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</si>
  <si>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</si>
  <si>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</si>
  <si>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</si>
  <si>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</si>
  <si>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</si>
  <si>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</si>
  <si>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</si>
  <si>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</si>
  <si>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</si>
  <si>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</si>
  <si>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</si>
  <si>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</si>
  <si>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</si>
  <si>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</si>
  <si>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</si>
  <si>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</si>
  <si>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</si>
  <si>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</si>
  <si>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</si>
  <si>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</si>
  <si>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</si>
  <si>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</si>
  <si>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</si>
  <si>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</si>
  <si>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</si>
  <si>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</si>
  <si>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</si>
  <si>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</si>
  <si>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</si>
  <si>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</si>
  <si>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</si>
  <si>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</si>
  <si>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</si>
  <si>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</si>
  <si>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</si>
  <si>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</si>
  <si>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</si>
  <si>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</si>
  <si>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</si>
  <si>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</si>
  <si>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</si>
  <si>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</si>
  <si>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</si>
  <si>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</si>
  <si>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</si>
  <si>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</si>
  <si>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</si>
  <si>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</si>
  <si>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</si>
  <si>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</si>
  <si>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</si>
  <si>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</si>
  <si>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</si>
  <si>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</si>
  <si>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</si>
  <si>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</si>
  <si>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</si>
  <si>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</si>
  <si>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</si>
  <si>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</si>
  <si>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</si>
  <si>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</si>
  <si>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</si>
  <si>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</si>
  <si>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</si>
  <si>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</si>
  <si>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</si>
  <si>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</si>
  <si>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</si>
  <si>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</si>
  <si>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</si>
  <si>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</si>
  <si>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</si>
  <si>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</si>
  <si>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</si>
  <si>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</si>
  <si>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</si>
  <si>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</si>
  <si>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</si>
  <si>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</si>
  <si>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</si>
  <si>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</si>
  <si>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</si>
  <si>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</si>
  <si>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</si>
  <si>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</si>
  <si>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</si>
  <si>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</si>
  <si>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</si>
  <si>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</si>
  <si>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</si>
  <si>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</si>
  <si>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</si>
  <si>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</si>
  <si>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</si>
  <si>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</si>
  <si>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</si>
  <si>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</si>
  <si>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</si>
  <si>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</si>
  <si>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</si>
  <si>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</si>
  <si>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</si>
  <si>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</si>
  <si>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</si>
  <si>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</si>
  <si>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</si>
  <si>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</si>
  <si>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</si>
  <si>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</si>
  <si>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</si>
  <si>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</si>
  <si>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</si>
  <si>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</si>
  <si>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</si>
  <si>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</si>
  <si>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</si>
  <si>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</si>
  <si>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</si>
  <si>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</si>
  <si>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</si>
  <si>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</si>
  <si>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</si>
  <si>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</si>
  <si>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</si>
  <si>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</si>
  <si>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</si>
  <si>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</si>
  <si>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</si>
  <si>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</si>
  <si>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</si>
  <si>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</si>
  <si>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</si>
  <si>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</si>
  <si>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</si>
  <si>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</si>
  <si>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</si>
  <si>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</si>
  <si>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</si>
  <si>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</si>
  <si>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</si>
  <si>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</si>
  <si>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</si>
  <si>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</si>
  <si>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</si>
  <si>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</si>
  <si>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</si>
  <si>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</si>
  <si>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</si>
  <si>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</si>
  <si>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</si>
  <si>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</si>
  <si>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</si>
  <si>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</si>
  <si>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</si>
  <si>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</si>
  <si>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</si>
  <si>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</si>
  <si>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</si>
  <si>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</si>
  <si>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</si>
  <si>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</si>
  <si>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</si>
  <si>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</si>
  <si>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</si>
  <si>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</si>
  <si>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</si>
  <si>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</si>
  <si>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</si>
  <si>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</si>
  <si>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</si>
  <si>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</si>
  <si>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</si>
  <si>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</si>
  <si>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</si>
  <si>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</si>
  <si>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</si>
  <si>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</si>
  <si>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</si>
  <si>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</si>
  <si>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</si>
  <si>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</si>
  <si>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</si>
  <si>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</si>
  <si>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</si>
  <si>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</si>
  <si>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</si>
  <si>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</si>
  <si>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</si>
  <si>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</si>
  <si>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</si>
  <si>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</si>
  <si>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</si>
  <si>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</si>
  <si>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</si>
  <si>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</si>
  <si>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</si>
  <si>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</si>
  <si>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</si>
  <si>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</si>
  <si>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</si>
  <si>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</si>
  <si>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</si>
  <si>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</si>
  <si>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</si>
  <si>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</si>
  <si>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</si>
  <si>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</si>
  <si>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</si>
  <si>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</si>
  <si>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</si>
  <si>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</si>
  <si>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</si>
  <si>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</si>
  <si>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</si>
  <si>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</si>
  <si>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</si>
  <si>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</si>
  <si>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</si>
  <si>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</si>
  <si>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</si>
  <si>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</si>
  <si>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</si>
  <si>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</si>
  <si>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</si>
  <si>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</si>
  <si>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</si>
  <si>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</si>
  <si>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</si>
  <si>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</si>
  <si>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</si>
  <si>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</si>
  <si>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</si>
  <si>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</si>
  <si>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</si>
  <si>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</si>
  <si>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</si>
  <si>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</si>
  <si>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</si>
  <si>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</si>
  <si>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</si>
  <si>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</si>
  <si>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</si>
  <si>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</si>
  <si>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</si>
  <si>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</si>
  <si>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</si>
  <si>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</si>
  <si>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</si>
  <si>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</si>
  <si>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</si>
  <si>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</si>
  <si>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</si>
  <si>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</si>
  <si>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</si>
  <si>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</si>
  <si>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</si>
  <si>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</si>
  <si>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</si>
  <si>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</si>
  <si>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</si>
  <si>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</si>
  <si>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</si>
  <si>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</si>
  <si>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</si>
  <si>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</si>
  <si>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</si>
  <si>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</si>
  <si>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</si>
  <si>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</si>
  <si>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</si>
  <si>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</si>
  <si>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</si>
  <si>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</si>
  <si>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</si>
  <si>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</si>
  <si>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</si>
  <si>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</si>
  <si>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</si>
  <si>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</si>
  <si>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</si>
  <si>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</si>
  <si>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</si>
  <si>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</si>
  <si>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</si>
  <si>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</si>
  <si>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</si>
  <si>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</si>
  <si>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</si>
  <si>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</si>
  <si>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</si>
  <si>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</si>
  <si>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</si>
  <si>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</si>
  <si>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</si>
  <si>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</si>
  <si>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</si>
  <si>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</si>
  <si>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</si>
  <si>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</si>
  <si>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</si>
  <si>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</si>
  <si>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</si>
  <si>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</si>
  <si>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</si>
  <si>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</si>
  <si>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</si>
  <si>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</si>
  <si>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</si>
  <si>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</si>
  <si>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</si>
  <si>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</si>
  <si>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</si>
  <si>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</si>
  <si>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</si>
  <si>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</si>
  <si>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</si>
  <si>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</si>
  <si>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</si>
  <si>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</si>
  <si>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</si>
  <si>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</si>
  <si>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</si>
  <si>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</si>
  <si>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</si>
  <si>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</si>
  <si>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</si>
  <si>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</si>
  <si>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</si>
  <si>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</si>
  <si>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</si>
  <si>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</si>
  <si>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</si>
  <si>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</si>
  <si>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</si>
  <si>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</si>
  <si>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</si>
  <si>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</si>
  <si>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</si>
  <si>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</si>
  <si>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</si>
  <si>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</si>
  <si>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</si>
  <si>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</si>
  <si>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</si>
  <si>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</si>
  <si>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</si>
  <si>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</si>
  <si>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</si>
  <si>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</si>
  <si>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</si>
  <si>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</si>
  <si>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</si>
  <si>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</si>
  <si>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</si>
  <si>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</si>
  <si>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</si>
  <si>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</si>
  <si>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</si>
  <si>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</si>
  <si>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</si>
  <si>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</si>
  <si>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</si>
  <si>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</si>
  <si>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</si>
  <si>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</si>
  <si>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</si>
  <si>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</si>
  <si>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</si>
  <si>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</si>
  <si>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</si>
  <si>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</si>
  <si>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</si>
  <si>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</si>
  <si>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</si>
  <si>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</si>
  <si>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</si>
  <si>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</si>
  <si>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</si>
  <si>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</si>
  <si>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</si>
  <si>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</si>
  <si>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</si>
  <si>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</si>
  <si>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</si>
  <si>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</si>
  <si>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</si>
  <si>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</si>
  <si>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</si>
  <si>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</si>
  <si>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</si>
  <si>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</si>
  <si>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</si>
  <si>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</si>
  <si>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</si>
  <si>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</si>
  <si>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</si>
  <si>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</si>
  <si>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</si>
  <si>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</si>
  <si>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</si>
  <si>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</si>
  <si>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</si>
  <si>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</si>
  <si>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</si>
  <si>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</si>
  <si>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</si>
  <si>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</si>
  <si>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</si>
  <si>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</si>
  <si>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</si>
  <si>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</si>
  <si>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</si>
  <si>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</si>
  <si>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</si>
  <si>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</si>
  <si>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</si>
  <si>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</si>
  <si>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</si>
  <si>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</si>
  <si>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</si>
  <si>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</si>
  <si>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</si>
  <si>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</si>
  <si>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</si>
  <si>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</si>
  <si>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</si>
  <si>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</si>
  <si>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</si>
  <si>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</si>
  <si>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</si>
  <si>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</si>
  <si>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</si>
  <si>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</si>
  <si>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</si>
  <si>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</si>
  <si>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</si>
  <si>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</si>
  <si>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</si>
  <si>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</si>
  <si>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</si>
  <si>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</si>
  <si>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</si>
  <si>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</si>
  <si>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</si>
  <si>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</si>
  <si>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</si>
  <si>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</si>
  <si>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</si>
  <si>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</si>
  <si>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</si>
  <si>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</si>
  <si>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</si>
  <si>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</si>
  <si>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</si>
  <si>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</si>
  <si>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</si>
  <si>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</si>
  <si>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</si>
  <si>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</si>
  <si>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</si>
  <si>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</si>
  <si>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</si>
  <si>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</si>
  <si>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</si>
  <si>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</si>
  <si>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</si>
  <si>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</si>
  <si>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</si>
  <si>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</si>
  <si>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</si>
  <si>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</si>
  <si>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</si>
  <si>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</si>
  <si>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</si>
  <si>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</si>
  <si>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</si>
  <si>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</si>
  <si>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</si>
  <si>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</si>
  <si>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</si>
  <si>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</si>
  <si>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</si>
  <si>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</si>
  <si>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</si>
  <si>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</si>
  <si>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</si>
  <si>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</si>
  <si>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</si>
  <si>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</si>
  <si>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</si>
  <si>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</si>
  <si>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</si>
  <si>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</si>
  <si>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</si>
  <si>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</si>
  <si>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</si>
  <si>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</si>
  <si>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</si>
  <si>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</si>
  <si>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</si>
  <si>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</si>
  <si>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</si>
  <si>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</si>
  <si>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</si>
  <si>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</si>
  <si>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</si>
  <si>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</si>
  <si>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</si>
  <si>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</si>
  <si>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</si>
  <si>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</si>
  <si>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</si>
  <si>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</si>
  <si>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</si>
  <si>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</si>
  <si>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</si>
  <si>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</si>
  <si>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</si>
  <si>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</si>
  <si>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</si>
  <si>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</si>
  <si>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</si>
  <si>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</si>
  <si>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</si>
  <si>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</si>
  <si>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</si>
  <si>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</si>
  <si>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</si>
  <si>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</si>
  <si>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</si>
  <si>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</si>
  <si>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</si>
  <si>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</si>
  <si>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</si>
  <si>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</si>
  <si>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</si>
  <si>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</si>
  <si>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</si>
  <si>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</si>
  <si>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</si>
  <si>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</si>
  <si>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</si>
  <si>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</si>
  <si>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</si>
  <si>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</si>
  <si>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</si>
  <si>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</si>
  <si>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</si>
  <si>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</si>
  <si>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</si>
  <si>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</si>
  <si>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</si>
  <si>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</si>
  <si>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</si>
  <si>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</si>
  <si>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</si>
  <si>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</si>
  <si>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</si>
  <si>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</si>
  <si>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</si>
  <si>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</si>
  <si>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</si>
  <si>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</si>
  <si>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</si>
  <si>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</si>
  <si>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</si>
  <si>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</si>
  <si>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</si>
  <si>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</si>
  <si>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</si>
  <si>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</si>
  <si>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</si>
  <si>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</si>
  <si>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</si>
  <si>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</si>
  <si>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</si>
  <si>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</si>
  <si>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</si>
  <si>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</si>
  <si>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</si>
  <si>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</si>
  <si>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</si>
  <si>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</si>
  <si>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</si>
  <si>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</si>
  <si>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</si>
  <si>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</si>
  <si>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</si>
  <si>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</si>
  <si>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</si>
  <si>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</si>
  <si>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</si>
  <si>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</si>
  <si>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</si>
  <si>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</si>
  <si>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</si>
  <si>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</si>
  <si>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</si>
  <si>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</si>
  <si>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</si>
  <si>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</si>
  <si>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</si>
  <si>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</si>
  <si>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</si>
  <si>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</si>
  <si>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</si>
  <si>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</si>
  <si>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</si>
  <si>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</si>
  <si>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</si>
  <si>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</si>
  <si>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</si>
  <si>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</si>
  <si>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</si>
  <si>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</si>
  <si>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</si>
  <si>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</si>
  <si>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</si>
  <si>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</si>
  <si>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</si>
  <si>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</si>
  <si>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</si>
  <si>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</si>
  <si>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</si>
  <si>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</si>
  <si>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</si>
  <si>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</si>
  <si>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</si>
  <si>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</si>
  <si>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</si>
  <si>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</si>
  <si>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</si>
  <si>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</si>
  <si>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</si>
  <si>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</si>
  <si>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</si>
  <si>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</si>
  <si>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</si>
  <si>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</si>
  <si>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</si>
  <si>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</si>
  <si>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</si>
  <si>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</si>
  <si>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</si>
  <si>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</si>
  <si>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</si>
  <si>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</si>
  <si>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</si>
  <si>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</si>
  <si>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</si>
  <si>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</si>
  <si>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</si>
  <si>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</si>
  <si>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</si>
  <si>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</si>
  <si>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</si>
  <si>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</si>
  <si>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</si>
  <si>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</si>
  <si>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</si>
  <si>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</si>
  <si>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</si>
  <si>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</si>
  <si>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</si>
  <si>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</si>
  <si>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</si>
  <si>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</si>
  <si>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</si>
  <si>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</si>
  <si>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</si>
  <si>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</si>
  <si>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</si>
  <si>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</si>
  <si>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</si>
  <si>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</si>
  <si>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</si>
  <si>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</si>
  <si>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</si>
  <si>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</si>
  <si>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</si>
  <si>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</si>
  <si>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</si>
  <si>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</si>
  <si>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</si>
  <si>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</si>
  <si>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</si>
  <si>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</si>
  <si>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</si>
  <si>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</si>
  <si>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</si>
  <si>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</si>
  <si>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</si>
  <si>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</si>
  <si>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</si>
  <si>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</si>
  <si>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</si>
  <si>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</si>
  <si>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</si>
  <si>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</si>
  <si>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</si>
  <si>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</si>
  <si>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</si>
  <si>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</si>
  <si>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</si>
  <si>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</si>
  <si>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</si>
  <si>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</si>
  <si>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</si>
  <si>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</si>
  <si>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</si>
  <si>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</si>
  <si>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</si>
  <si>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</si>
  <si>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</si>
  <si>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</si>
  <si>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</si>
  <si>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</si>
  <si>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</si>
  <si>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</si>
  <si>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</si>
  <si>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</si>
  <si>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</si>
  <si>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</si>
  <si>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</si>
  <si>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</si>
  <si>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</si>
  <si>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</si>
  <si>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</si>
  <si>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</si>
  <si>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</si>
  <si>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</si>
  <si>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</si>
  <si>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</si>
  <si>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</si>
  <si>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</si>
  <si>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</si>
  <si>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</si>
  <si>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</si>
  <si>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</si>
  <si>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</si>
  <si>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</si>
  <si>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</si>
  <si>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</si>
  <si>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</si>
  <si>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</si>
  <si>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</si>
  <si>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</si>
  <si>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Zierick Manufacturing Corporation</t>
  </si>
  <si>
    <t>00-152-6060</t>
  </si>
  <si>
    <t>Dun &amp; Bradstreet Number</t>
  </si>
  <si>
    <t>contactus@zierick.com</t>
  </si>
  <si>
    <t>914-666-2911</t>
  </si>
  <si>
    <t>Kerry Lynster</t>
  </si>
  <si>
    <t>klynster@zierick.com</t>
  </si>
  <si>
    <t>Customer Support</t>
  </si>
  <si>
    <t>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</si>
  <si>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100%</t>
  </si>
  <si>
    <t>Though Zierick does not explicitly state that the 3TG smelters that our direct vendors source from shall be audited by an independent third party audit program, our direct suppliers are required to source from smelters listed on RMI's conformant smelters list.</t>
  </si>
  <si>
    <t>https://zierick.com/reach-and-rohs-compliance/#1715000761159-94d75f5d-235a</t>
  </si>
  <si>
    <t>Zierick Manufacturing Corporation is a US-based, privately owned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</si>
</sst>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tactus@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zierick.com/reach-and-rohs-compliance/"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45"/>
  <cols>
    <col min="1" max="1" width="0.86328125" customWidth="1"/>
    <col min="2" max="2" width="8" customWidth="1"/>
    <col min="3" max="3" width="8.59765625" customWidth="1"/>
    <col min="4" max="4" width="13" style="164" customWidth="1"/>
    <col min="5" max="5" width="42.3984375" customWidth="1"/>
    <col min="6" max="6" width="53.3984375" customWidth="1"/>
    <col min="7" max="7" width="0.86328125" customWidth="1"/>
  </cols>
  <sheetData>
    <row r="1" spans="1:7" ht="12.9"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450000000000003">
      <c r="A13" s="303"/>
      <c r="B13" s="275">
        <v>1</v>
      </c>
      <c r="C13" s="276" t="s">
        <v>1046</v>
      </c>
      <c r="D13" s="277" t="s">
        <v>836</v>
      </c>
      <c r="E13" s="278" t="s">
        <v>813</v>
      </c>
      <c r="F13" s="278"/>
      <c r="G13" s="24"/>
    </row>
    <row r="14" spans="1:7" ht="44.6">
      <c r="A14" s="303"/>
      <c r="B14" s="275">
        <v>2</v>
      </c>
      <c r="C14" s="276" t="s">
        <v>1046</v>
      </c>
      <c r="D14" s="277" t="s">
        <v>983</v>
      </c>
      <c r="E14" s="278" t="s">
        <v>513</v>
      </c>
      <c r="F14" s="278" t="s">
        <v>514</v>
      </c>
      <c r="G14" s="24"/>
    </row>
    <row r="15" spans="1:7" ht="89.1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150000000000006"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99999999999999"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15" customHeight="1">
      <c r="A34" s="303"/>
      <c r="B34" s="316"/>
      <c r="C34" s="310"/>
      <c r="D34" s="313"/>
      <c r="E34" s="301"/>
      <c r="F34" s="280" t="s">
        <v>63</v>
      </c>
      <c r="G34" s="24"/>
    </row>
    <row r="35" spans="1:7" ht="29.15" customHeight="1">
      <c r="A35" s="303"/>
      <c r="B35" s="316"/>
      <c r="C35" s="310"/>
      <c r="D35" s="313"/>
      <c r="E35" s="301"/>
      <c r="F35" s="280" t="s">
        <v>64</v>
      </c>
      <c r="G35" s="24"/>
    </row>
    <row r="36" spans="1:7" ht="134.15">
      <c r="A36" s="303"/>
      <c r="B36" s="317"/>
      <c r="C36" s="311"/>
      <c r="D36" s="314"/>
      <c r="E36" s="302"/>
      <c r="F36" s="282" t="s">
        <v>65</v>
      </c>
      <c r="G36" s="24"/>
    </row>
    <row r="37" spans="1:7" ht="133.75">
      <c r="A37" s="303"/>
      <c r="B37" s="281">
        <v>3.01</v>
      </c>
      <c r="C37" s="283" t="s">
        <v>66</v>
      </c>
      <c r="D37" s="277" t="s">
        <v>2155</v>
      </c>
      <c r="E37" s="284" t="s">
        <v>1282</v>
      </c>
      <c r="F37" s="285" t="s">
        <v>1384</v>
      </c>
      <c r="G37" s="24"/>
    </row>
    <row r="38" spans="1:7" ht="122.6">
      <c r="A38" s="303"/>
      <c r="B38" s="281">
        <v>3.02</v>
      </c>
      <c r="C38" s="283" t="s">
        <v>1314</v>
      </c>
      <c r="D38" s="277" t="s">
        <v>2156</v>
      </c>
      <c r="E38" s="284" t="s">
        <v>1329</v>
      </c>
      <c r="F38" s="285" t="s">
        <v>1385</v>
      </c>
      <c r="G38" s="24"/>
    </row>
    <row r="39" spans="1:7" ht="111.45">
      <c r="A39" s="303"/>
      <c r="B39" s="286">
        <v>4</v>
      </c>
      <c r="C39" s="287" t="s">
        <v>1480</v>
      </c>
      <c r="D39" s="277" t="s">
        <v>2157</v>
      </c>
      <c r="E39" s="276" t="s">
        <v>2104</v>
      </c>
      <c r="F39" s="276" t="s">
        <v>1481</v>
      </c>
      <c r="G39" s="24"/>
    </row>
    <row r="40" spans="1:7" ht="55.75">
      <c r="A40" s="303"/>
      <c r="B40" s="281">
        <v>4.01</v>
      </c>
      <c r="C40" s="287" t="s">
        <v>1480</v>
      </c>
      <c r="D40" s="277" t="s">
        <v>2159</v>
      </c>
      <c r="E40" s="276" t="s">
        <v>2116</v>
      </c>
      <c r="F40" s="276" t="s">
        <v>2120</v>
      </c>
      <c r="G40" s="24"/>
    </row>
    <row r="41" spans="1:7" ht="55.75">
      <c r="A41" s="303"/>
      <c r="B41" s="281" t="s">
        <v>2146</v>
      </c>
      <c r="C41" s="287" t="s">
        <v>1480</v>
      </c>
      <c r="D41" s="277" t="s">
        <v>2158</v>
      </c>
      <c r="E41" s="276" t="s">
        <v>2149</v>
      </c>
      <c r="F41" s="276" t="s">
        <v>2147</v>
      </c>
      <c r="G41" s="24"/>
    </row>
    <row r="42" spans="1:7" ht="55.75">
      <c r="A42" s="303"/>
      <c r="B42" s="281" t="s">
        <v>2173</v>
      </c>
      <c r="C42" s="287" t="s">
        <v>1480</v>
      </c>
      <c r="D42" s="277" t="s">
        <v>2178</v>
      </c>
      <c r="E42" s="276" t="s">
        <v>2148</v>
      </c>
      <c r="F42" s="276" t="s">
        <v>2174</v>
      </c>
      <c r="G42" s="24"/>
    </row>
    <row r="43" spans="1:7" ht="167.15">
      <c r="A43" s="303"/>
      <c r="B43" s="288">
        <v>4.0999999999999996</v>
      </c>
      <c r="C43" s="287" t="s">
        <v>2177</v>
      </c>
      <c r="D43" s="289">
        <v>42867</v>
      </c>
      <c r="E43" s="290" t="s">
        <v>2180</v>
      </c>
      <c r="F43" s="276" t="s">
        <v>2179</v>
      </c>
      <c r="G43" s="24"/>
    </row>
    <row r="44" spans="1:7" ht="100.3">
      <c r="A44" s="303"/>
      <c r="B44" s="288">
        <v>4.2</v>
      </c>
      <c r="C44" s="287" t="s">
        <v>2177</v>
      </c>
      <c r="D44" s="289">
        <v>42704</v>
      </c>
      <c r="E44" s="290" t="s">
        <v>2369</v>
      </c>
      <c r="F44" s="276" t="s">
        <v>2344</v>
      </c>
      <c r="G44" s="24"/>
    </row>
    <row r="45" spans="1:7" ht="200.6">
      <c r="A45" s="303"/>
      <c r="B45" s="291">
        <v>5</v>
      </c>
      <c r="C45" s="287" t="s">
        <v>2177</v>
      </c>
      <c r="D45" s="289">
        <v>42867</v>
      </c>
      <c r="E45" s="290" t="s">
        <v>12256</v>
      </c>
      <c r="F45" s="276" t="s">
        <v>11978</v>
      </c>
      <c r="G45" s="24"/>
    </row>
    <row r="46" spans="1:7" ht="55.75">
      <c r="A46" s="303"/>
      <c r="B46" s="288">
        <v>5.01</v>
      </c>
      <c r="C46" s="287" t="s">
        <v>2177</v>
      </c>
      <c r="D46" s="289">
        <v>42907</v>
      </c>
      <c r="E46" s="290" t="s">
        <v>14886</v>
      </c>
      <c r="F46" s="276" t="s">
        <v>11978</v>
      </c>
      <c r="G46" s="24"/>
    </row>
    <row r="47" spans="1:7" ht="89.15">
      <c r="A47" s="303"/>
      <c r="B47" s="288">
        <v>5.0999999999999996</v>
      </c>
      <c r="C47" s="287" t="s">
        <v>2177</v>
      </c>
      <c r="D47" s="289">
        <v>43070</v>
      </c>
      <c r="E47" s="290" t="s">
        <v>12456</v>
      </c>
      <c r="F47" s="276" t="s">
        <v>12457</v>
      </c>
      <c r="G47" s="24"/>
    </row>
    <row r="48" spans="1:7" ht="78">
      <c r="A48" s="303"/>
      <c r="B48" s="288">
        <v>5.1100000000000003</v>
      </c>
      <c r="C48" s="287" t="s">
        <v>12684</v>
      </c>
      <c r="D48" s="289">
        <v>43217</v>
      </c>
      <c r="E48" s="290" t="s">
        <v>12786</v>
      </c>
      <c r="F48" s="276" t="s">
        <v>12711</v>
      </c>
      <c r="G48" s="24"/>
    </row>
    <row r="49" spans="1:7" ht="78">
      <c r="A49" s="303"/>
      <c r="B49" s="288">
        <v>5.12</v>
      </c>
      <c r="C49" s="287" t="s">
        <v>12684</v>
      </c>
      <c r="D49" s="289">
        <v>43581</v>
      </c>
      <c r="E49" s="290" t="s">
        <v>12786</v>
      </c>
      <c r="F49" s="276" t="s">
        <v>13315</v>
      </c>
      <c r="G49" s="24"/>
    </row>
    <row r="50" spans="1:7" ht="111.45">
      <c r="A50" s="303"/>
      <c r="B50" s="291">
        <v>6</v>
      </c>
      <c r="C50" s="287" t="s">
        <v>12684</v>
      </c>
      <c r="D50" s="289">
        <v>43964</v>
      </c>
      <c r="E50" s="290" t="s">
        <v>13527</v>
      </c>
      <c r="F50" s="276" t="s">
        <v>13318</v>
      </c>
      <c r="G50" s="24"/>
    </row>
    <row r="51" spans="1:7" ht="55.75">
      <c r="A51" s="303"/>
      <c r="B51" s="288">
        <v>6.01</v>
      </c>
      <c r="C51" s="287" t="s">
        <v>12684</v>
      </c>
      <c r="D51" s="289">
        <v>43970</v>
      </c>
      <c r="E51" s="290" t="s">
        <v>14887</v>
      </c>
      <c r="F51" s="290" t="s">
        <v>13318</v>
      </c>
      <c r="G51" s="24"/>
    </row>
    <row r="52" spans="1:7" ht="55.75">
      <c r="A52" s="303"/>
      <c r="B52" s="288">
        <v>6.1</v>
      </c>
      <c r="C52" s="287" t="s">
        <v>12684</v>
      </c>
      <c r="D52" s="289">
        <v>44314</v>
      </c>
      <c r="E52" s="290" t="s">
        <v>14880</v>
      </c>
      <c r="F52" s="290" t="s">
        <v>14487</v>
      </c>
      <c r="G52" s="24"/>
    </row>
    <row r="53" spans="1:7" ht="55.75">
      <c r="A53" s="303"/>
      <c r="B53" s="288">
        <v>6.2</v>
      </c>
      <c r="C53" s="287" t="s">
        <v>12684</v>
      </c>
      <c r="D53" s="289">
        <v>44678</v>
      </c>
      <c r="E53" s="290" t="s">
        <v>14880</v>
      </c>
      <c r="F53" s="290" t="s">
        <v>14879</v>
      </c>
      <c r="G53" s="24"/>
    </row>
    <row r="54" spans="1:7" ht="55.75">
      <c r="A54" s="303"/>
      <c r="B54" s="288">
        <v>6.21</v>
      </c>
      <c r="C54" s="287" t="s">
        <v>12684</v>
      </c>
      <c r="D54" s="289">
        <v>44687</v>
      </c>
      <c r="E54" s="290" t="s">
        <v>14888</v>
      </c>
      <c r="F54" s="290" t="s">
        <v>14879</v>
      </c>
      <c r="G54" s="24"/>
    </row>
    <row r="55" spans="1:7" ht="55.75">
      <c r="A55" s="303"/>
      <c r="B55" s="288">
        <v>6.22</v>
      </c>
      <c r="C55" s="287" t="s">
        <v>12684</v>
      </c>
      <c r="D55" s="292">
        <v>44692</v>
      </c>
      <c r="E55" s="290" t="s">
        <v>14887</v>
      </c>
      <c r="F55" s="290" t="s">
        <v>14879</v>
      </c>
      <c r="G55" s="24"/>
    </row>
    <row r="56" spans="1:7" ht="78">
      <c r="A56" s="303"/>
      <c r="B56" s="291">
        <v>6.3</v>
      </c>
      <c r="C56" s="287" t="s">
        <v>12684</v>
      </c>
      <c r="D56" s="292">
        <v>45051</v>
      </c>
      <c r="E56" s="290" t="s">
        <v>15144</v>
      </c>
      <c r="F56" s="290" t="s">
        <v>14925</v>
      </c>
      <c r="G56" s="24"/>
    </row>
    <row r="57" spans="1:7" ht="55.75">
      <c r="A57" s="303"/>
      <c r="B57" s="288">
        <v>6.31</v>
      </c>
      <c r="C57" s="287" t="s">
        <v>12684</v>
      </c>
      <c r="D57" s="292">
        <v>45072</v>
      </c>
      <c r="E57" s="290" t="s">
        <v>15146</v>
      </c>
      <c r="F57" s="290" t="s">
        <v>14925</v>
      </c>
      <c r="G57" s="24"/>
    </row>
    <row r="58" spans="1:7" ht="55.75">
      <c r="A58" s="303"/>
      <c r="B58" s="291">
        <v>6.4</v>
      </c>
      <c r="C58" s="287" t="s">
        <v>12684</v>
      </c>
      <c r="D58" s="292">
        <v>45408</v>
      </c>
      <c r="E58" s="290" t="s">
        <v>15148</v>
      </c>
      <c r="F58" s="290" t="s">
        <v>15147</v>
      </c>
      <c r="G58" s="24"/>
    </row>
    <row r="59" spans="1:7" ht="55.75">
      <c r="A59" s="303"/>
      <c r="B59" s="291">
        <v>6.5</v>
      </c>
      <c r="C59" s="287" t="s">
        <v>12684</v>
      </c>
      <c r="D59" s="292">
        <v>45772</v>
      </c>
      <c r="E59" s="290" t="s">
        <v>15217</v>
      </c>
      <c r="F59" s="290" t="s">
        <v>15259</v>
      </c>
      <c r="G59" s="24"/>
    </row>
    <row r="60" spans="1:7" ht="78">
      <c r="A60" s="303"/>
      <c r="B60" s="291">
        <v>6.6</v>
      </c>
      <c r="C60" s="287" t="s">
        <v>12684</v>
      </c>
      <c r="D60" s="292">
        <v>46129</v>
      </c>
      <c r="E60" s="290" t="s">
        <v>15870</v>
      </c>
      <c r="F60" s="293" t="s">
        <v>15352</v>
      </c>
      <c r="G60" s="24"/>
    </row>
    <row r="61" spans="1:7" ht="12.9" thickBot="1">
      <c r="A61" s="304"/>
      <c r="B61" s="305" t="str">
        <f ca="1">OFFSET(L!$C$1,MATCH("General"&amp;"Cpy",L!$A:$A,0)-1,SL,,)</f>
        <v>© 2026 Responsible Minerals Initiative. All rights reserved.</v>
      </c>
      <c r="C61" s="305"/>
      <c r="D61" s="305"/>
      <c r="E61" s="305"/>
      <c r="F61" s="305"/>
      <c r="G61" s="25"/>
    </row>
    <row r="62" spans="1:7" ht="12.9"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6328125" defaultRowHeight="12.45"/>
  <cols>
    <col min="1" max="1" width="20.59765625" style="62" customWidth="1"/>
    <col min="2" max="2" width="57.1328125" style="62" customWidth="1"/>
    <col min="3" max="16384" width="8.86328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59533D6-9BF2-4374-B4D0-83BB1EC1937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6328125" defaultRowHeight="12.45"/>
  <cols>
    <col min="1" max="1" width="11.1328125" customWidth="1"/>
    <col min="2" max="2" width="25.73046875" customWidth="1"/>
    <col min="3" max="3" width="11.86328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F55BDD-593A-4B00-8AF1-A3A0A01059F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4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2.9" thickBot="1">
      <c r="A33" s="72"/>
      <c r="B33" s="146"/>
      <c r="C33" s="146"/>
      <c r="D33" s="323"/>
    </row>
    <row r="34" spans="1:4" ht="12.9"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7" zoomScale="86" zoomScaleNormal="86" zoomScalePageLayoutView="70" workbookViewId="0">
      <selection activeCell="D89" sqref="D89:E89"/>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8.86328125" hidden="1" customWidth="1"/>
  </cols>
  <sheetData>
    <row r="1" spans="1:34" ht="15.4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1" t="s">
        <v>15886</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6" t="s">
        <v>15882</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7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75">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7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600000000000001">
      <c r="A22" s="35"/>
      <c r="B22" s="37" t="str">
        <f ca="1">OFFSET(L!$C$1,MATCH("Declaration"&amp;ADDRESS(ROW(),COLUMN(),4),L!$A:$A,0)-1,SL,,)</f>
        <v>Effective Date (*):</v>
      </c>
      <c r="C22" s="75"/>
      <c r="D22" s="329">
        <v>46143</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600000000000001">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7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7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7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7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600000000000001">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7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7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7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7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600000000000001">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7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75">
      <c r="A39" s="38"/>
      <c r="B39" s="37" t="str">
        <f ca="1">OFFSET(L!$C$1,MATCH("Declaration"&amp;ADDRESS(ROW(),COLUMN(),4),L!$A:$A,0)-1,SL,,)&amp;P39</f>
        <v>Tin  (*)</v>
      </c>
      <c r="C39" s="9"/>
      <c r="D39" s="327" t="s">
        <v>473</v>
      </c>
      <c r="E39" s="328"/>
      <c r="F39" s="44"/>
      <c r="G39" s="335" t="s">
        <v>15887</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7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7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600000000000001">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7" t="s">
        <v>473</v>
      </c>
      <c r="E45" s="328"/>
      <c r="F45" s="44"/>
      <c r="G45" s="335" t="s">
        <v>15887</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7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7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7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7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600000000000001">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7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75">
      <c r="A57" s="38"/>
      <c r="B57" s="37" t="str">
        <f ca="1">B39</f>
        <v>Tin  (*)</v>
      </c>
      <c r="C57" s="32"/>
      <c r="D57" s="369" t="s">
        <v>15888</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75">
      <c r="A58" s="38"/>
      <c r="B58" s="37" t="str">
        <f ca="1">B40</f>
        <v>Gold  (*)</v>
      </c>
      <c r="C58" s="32"/>
      <c r="D58" s="369" t="s">
        <v>15888</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7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7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7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7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7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7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7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7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7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474</v>
      </c>
      <c r="E79" s="328"/>
      <c r="F79" s="54"/>
      <c r="G79" s="335" t="s">
        <v>15889</v>
      </c>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t="s">
        <v>15891</v>
      </c>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4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4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386EC-12C5-4D56-87A5-A557B28AC2FD}"/>
    <hyperlink ref="D20" r:id="rId4" xr:uid="{9B207834-14EF-440D-B756-792680293DDE}"/>
    <hyperlink ref="G77" r:id="rId5" location="1715000761159-94d75f5d-235a" xr:uid="{CDDDA9E6-F93C-43A8-95C3-2F6FCB23C8D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0" sqref="C10"/>
    </sheetView>
  </sheetViews>
  <sheetFormatPr defaultColWidth="8.86328125" defaultRowHeight="12.45"/>
  <cols>
    <col min="1" max="1" width="13.59765625" style="210" customWidth="1"/>
    <col min="2" max="2" width="13.3984375" style="212" customWidth="1"/>
    <col min="3" max="3" width="40.59765625" style="212" customWidth="1"/>
    <col min="4" max="4" width="30.59765625" style="212" customWidth="1"/>
    <col min="5" max="5" width="20.86328125" style="212" customWidth="1"/>
    <col min="6" max="7" width="13.86328125" style="212" customWidth="1"/>
    <col min="8" max="8" width="25.1328125" style="212" customWidth="1"/>
    <col min="9" max="9" width="24.1328125" style="212" customWidth="1"/>
    <col min="10" max="10" width="18.3984375" style="212" customWidth="1"/>
    <col min="11" max="11" width="27.3984375" style="212" customWidth="1"/>
    <col min="12" max="12" width="20.59765625" style="212" customWidth="1"/>
    <col min="13" max="13" width="35.1328125" style="212" customWidth="1"/>
    <col min="14" max="14" width="42.1328125" style="212" customWidth="1"/>
    <col min="15" max="15" width="32.1328125" style="212" customWidth="1"/>
    <col min="16" max="16" width="22.86328125" style="212" customWidth="1"/>
    <col min="17" max="17" width="43.59765625" style="212" customWidth="1"/>
    <col min="18" max="18" width="35.86328125" style="212" hidden="1" customWidth="1"/>
    <col min="19" max="20" width="17.86328125" style="212" hidden="1" customWidth="1"/>
    <col min="21" max="21" width="8.86328125" style="212" hidden="1" customWidth="1"/>
    <col min="22" max="22" width="6.1328125" style="212" hidden="1" customWidth="1"/>
    <col min="23" max="23" width="8.59765625" style="212" hidden="1" customWidth="1"/>
    <col min="24" max="24" width="8.86328125" style="212" hidden="1" customWidth="1"/>
    <col min="25" max="27" width="4.3984375" style="212" hidden="1" customWidth="1"/>
    <col min="28" max="28" width="7.86328125" style="212" hidden="1" customWidth="1"/>
    <col min="29" max="33" width="4.3984375" style="212" hidden="1" customWidth="1"/>
    <col min="34" max="34" width="14.59765625" style="212" hidden="1" customWidth="1"/>
    <col min="35" max="39" width="8.86328125" style="212" customWidth="1"/>
    <col min="40" max="16384" width="8.8632812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6.6">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738</v>
      </c>
      <c r="B5" s="166" t="str">
        <f ca="1">IF(LEN(A5)=0,"",INDEX('Smelter Look-up'!$A:$A,MATCH($A5,'Smelter Look-up'!$E:$E,0)))</f>
        <v>Tin</v>
      </c>
      <c r="C5" s="170" t="str">
        <f ca="1">IF(LEN(A5)=0,"",INDEX('Smelter Look-up'!$C:$C,MATCH($A5,'Smelter Look-up'!$E:$E,0)))</f>
        <v>Fenix Metals</v>
      </c>
      <c r="D5" s="213"/>
      <c r="E5" s="166" t="str">
        <f ca="1">IF(ISERROR($V5),"",OFFSET('Smelter Look-up'!$D$4,$V5-4,0)&amp;"")</f>
        <v>POLAND</v>
      </c>
      <c r="F5" s="166" t="str">
        <f ca="1">IF(ISERROR($V5),"",OFFSET('Smelter Look-up'!$E$4,$V5-4,0))</f>
        <v>CID000468</v>
      </c>
      <c r="G5" s="166" t="str">
        <f ca="1">IF(C5=$X$4,IF(ISERROR($V5),"Enter smelter details","RMI"),IF(ISERROR($V5),"",OFFSET('Smelter Look-up'!$F$4,$V5-4,0)))</f>
        <v>RMI</v>
      </c>
      <c r="H5" s="167">
        <f ca="1">IF(ISERROR($V5),"",OFFSET('Smelter Look-up'!$G$4,$V5-4,0))</f>
        <v>0</v>
      </c>
      <c r="I5" s="168" t="str">
        <f ca="1">IF(ISERROR($V5),"",OFFSET('Smelter Look-up'!$H$4,$V5-4,0))</f>
        <v>Chmielów</v>
      </c>
      <c r="J5" s="168" t="str">
        <f ca="1">IF(ISERROR($V5),"",OFFSET('Smelter Look-up'!$I$4,$V5-4,0))</f>
        <v>Podkarpackie</v>
      </c>
      <c r="K5" s="207"/>
      <c r="L5" s="207"/>
      <c r="M5" s="207"/>
      <c r="N5" s="207"/>
      <c r="O5" s="207"/>
      <c r="P5" s="169"/>
      <c r="Q5" s="208"/>
      <c r="R5" s="166" t="str">
        <f ca="1">IF(ISERROR($V5),"",OFFSET('Smelter Look-up'!$C$4,$V5-4,0)&amp;"")</f>
        <v>Fenix Metals</v>
      </c>
      <c r="S5" s="165" t="str">
        <f ca="1">IF(B5="","",IF(ISERROR(MATCH($E5,CL,0)),"Unknown",INDIRECT("'C'!$A$"&amp;MATCH($E5,CL,0)+1)))</f>
        <v>PL</v>
      </c>
      <c r="T5" s="165" t="str">
        <f ca="1">IF(B5="","",IF(ISERROR(MATCH($J5,SorP!$B$1:$B$6261,0)),"",INDIRECT("'SorP'!$A$"&amp;MATCH($S5&amp;$J5,SorP!C:C,0))))</f>
        <v>PL-18</v>
      </c>
      <c r="U5" s="185"/>
      <c r="V5" s="209">
        <f ca="1">IF(C5="",NA(),IF(OR(C5="Smelter not listed",C5="Smelter not yet identified"),MATCH($B5&amp;$D5,'Smelter Look-up'!$J:$J,0),MATCH($B5&amp;$C5,'Smelter Look-up'!$J:$J,0)))</f>
        <v>462</v>
      </c>
      <c r="X5" s="210">
        <f t="shared" ref="X5" ca="1" si="0">IF(AND(C5="Smelter not listed",OR(LEN(D5)=0,LEN(E5)=0)),1,0)</f>
        <v>0</v>
      </c>
      <c r="AB5" s="211" t="str">
        <f t="shared" ref="AB5" ca="1" si="1">B5&amp;C5</f>
        <v>TinFenix Metals</v>
      </c>
    </row>
    <row r="6" spans="1:34" s="210" customFormat="1" ht="20.149999999999999" customHeight="1">
      <c r="A6" s="245" t="s">
        <v>739</v>
      </c>
      <c r="B6" s="166" t="str">
        <f ca="1">IF(LEN(A6)=0,"",INDEX('Smelter Look-up'!$A:$A,MATCH($A6,'Smelter Look-up'!$E:$E,0)))</f>
        <v>Tin</v>
      </c>
      <c r="C6" s="170" t="str">
        <f ca="1">IF(LEN(A6)=0,"",INDEX('Smelter Look-up'!$C:$C,MATCH($A6,'Smelter Look-up'!$E:$E,0)))</f>
        <v>Gejiu Non-Ferrous Metal Processing Co., Ltd.</v>
      </c>
      <c r="D6" s="213"/>
      <c r="E6" s="166" t="str">
        <f ca="1">IF(ISERROR($V6),"",OFFSET('Smelter Look-up'!$D$4,$V6-4,0)&amp;"")</f>
        <v>CHINA</v>
      </c>
      <c r="F6" s="166" t="str">
        <f ca="1">IF(ISERROR($V6),"",OFFSET('Smelter Look-up'!$E$4,$V6-4,0))</f>
        <v>CID000538</v>
      </c>
      <c r="G6" s="166" t="str">
        <f ca="1">IF(C6=$X$4,IF(ISERROR($V6),"Enter smelter details","RMI"),IF(ISERROR($V6),"",OFFSET('Smelter Look-up'!$F$4,$V6-4,0)))</f>
        <v>RMI</v>
      </c>
      <c r="H6" s="167">
        <f ca="1">IF(ISERROR($V6),"",OFFSET('Smelter Look-up'!$G$4,$V6-4,0))</f>
        <v>0</v>
      </c>
      <c r="I6" s="168" t="str">
        <f ca="1">IF(ISERROR($V6),"",OFFSET('Smelter Look-up'!$H$4,$V6-4,0))</f>
        <v>Gejiu</v>
      </c>
      <c r="J6" s="168" t="str">
        <f ca="1">IF(ISERROR($V6),"",OFFSET('Smelter Look-up'!$I$4,$V6-4,0))</f>
        <v>Yunnan Sheng</v>
      </c>
      <c r="K6" s="207"/>
      <c r="L6" s="207"/>
      <c r="M6" s="207"/>
      <c r="N6" s="207"/>
      <c r="O6" s="207"/>
      <c r="P6" s="169"/>
      <c r="Q6" s="208"/>
      <c r="R6" s="166" t="str">
        <f ca="1">IF(ISERROR($V6),"",OFFSET('Smelter Look-up'!$C$4,$V6-4,0)&amp;"")</f>
        <v>Gejiu Non-Ferrous Metal Processing Co., Ltd.</v>
      </c>
      <c r="S6" s="165" t="str">
        <f t="shared" ref="S6:S37" ca="1" si="2">IF(B6="","",IF(ISERROR(MATCH($E6,CL,0)),"Unknown",INDIRECT("'C'!$A$"&amp;MATCH($E6,CL,0)+1)))</f>
        <v>CN</v>
      </c>
      <c r="T6" s="165" t="str">
        <f ca="1">IF(B6="","",IF(ISERROR(MATCH($J6,SorP!$B$1:$B$6261,0)),"",INDIRECT("'SorP'!$A$"&amp;MATCH($S6&amp;$J6,SorP!C:C,0))))</f>
        <v>CN-YN</v>
      </c>
      <c r="U6" s="185"/>
      <c r="V6" s="209">
        <f ca="1">IF(C6="",NA(),IF(OR(C6="Smelter not listed",C6="Smelter not yet identified"),MATCH($B6&amp;$D6,'Smelter Look-up'!$J:$J,0),MATCH($B6&amp;$C6,'Smelter Look-up'!$J:$J,0)))</f>
        <v>468</v>
      </c>
      <c r="X6" s="210">
        <f t="shared" ref="X6:X37" ca="1" si="3">IF(AND(C6="Smelter not listed",OR(LEN(D6)=0,LEN(E6)=0)),1,0)</f>
        <v>0</v>
      </c>
      <c r="AB6" s="211" t="str">
        <f t="shared" ref="AB6:AB37" ca="1" si="4">B6&amp;C6</f>
        <v>TinGejiu Non-Ferrous Metal Processing Co., Ltd.</v>
      </c>
    </row>
    <row r="7" spans="1:34" s="210" customFormat="1" ht="20.149999999999999" customHeight="1">
      <c r="A7" s="245" t="s">
        <v>653</v>
      </c>
      <c r="B7" s="166" t="str">
        <f ca="1">IF(LEN(A7)=0,"",INDEX('Smelter Look-up'!$A:$A,MATCH($A7,'Smelter Look-up'!$E:$E,0)))</f>
        <v>Gold</v>
      </c>
      <c r="C7" s="170" t="str">
        <f ca="1">IF(LEN(A7)=0,"",INDEX('Smelter Look-up'!$C:$C,MATCH($A7,'Smelter Look-up'!$E:$E,0)))</f>
        <v>Heraeus Metals Hong Kong Ltd.</v>
      </c>
      <c r="D7" s="213"/>
      <c r="E7" s="166" t="str">
        <f ca="1">IF(ISERROR($V7),"",OFFSET('Smelter Look-up'!$D$4,$V7-4,0)&amp;"")</f>
        <v>CHINA</v>
      </c>
      <c r="F7" s="166" t="str">
        <f ca="1">IF(ISERROR($V7),"",OFFSET('Smelter Look-up'!$E$4,$V7-4,0))</f>
        <v>CID000707</v>
      </c>
      <c r="G7" s="166" t="str">
        <f ca="1">IF(C7=$X$4,IF(ISERROR($V7),"Enter smelter details","RMI"),IF(ISERROR($V7),"",OFFSET('Smelter Look-up'!$F$4,$V7-4,0)))</f>
        <v>RMI</v>
      </c>
      <c r="H7" s="167">
        <f ca="1">IF(ISERROR($V7),"",OFFSET('Smelter Look-up'!$G$4,$V7-4,0))</f>
        <v>0</v>
      </c>
      <c r="I7" s="168" t="str">
        <f ca="1">IF(ISERROR($V7),"",OFFSET('Smelter Look-up'!$H$4,$V7-4,0))</f>
        <v>Fanling</v>
      </c>
      <c r="J7" s="168" t="str">
        <f ca="1">IF(ISERROR($V7),"",OFFSET('Smelter Look-up'!$I$4,$V7-4,0))</f>
        <v>Hong Kong SAR</v>
      </c>
      <c r="K7" s="207"/>
      <c r="L7" s="207"/>
      <c r="M7" s="207"/>
      <c r="N7" s="207"/>
      <c r="O7" s="207"/>
      <c r="P7" s="169"/>
      <c r="Q7" s="208"/>
      <c r="R7" s="166" t="str">
        <f ca="1">IF(ISERROR($V7),"",OFFSET('Smelter Look-up'!$C$4,$V7-4,0)&amp;"")</f>
        <v>Heraeus Metals Hong Kong Ltd.</v>
      </c>
      <c r="S7" s="165" t="str">
        <f t="shared" ca="1" si="2"/>
        <v>CN</v>
      </c>
      <c r="T7" s="165" t="str">
        <f ca="1">IF(B7="","",IF(ISERROR(MATCH($J7,SorP!$B$1:$B$6261,0)),"",INDIRECT("'SorP'!$A$"&amp;MATCH($S7&amp;$J7,SorP!C:C,0))))</f>
        <v/>
      </c>
      <c r="U7" s="185"/>
      <c r="V7" s="209">
        <f ca="1">IF(C7="",NA(),IF(OR(C7="Smelter not listed",C7="Smelter not yet identified"),MATCH($B7&amp;$D7,'Smelter Look-up'!$J:$J,0),MATCH($B7&amp;$C7,'Smelter Look-up'!$J:$J,0)))</f>
        <v>123</v>
      </c>
      <c r="X7" s="210">
        <f t="shared" ca="1" si="3"/>
        <v>0</v>
      </c>
      <c r="AB7" s="211" t="str">
        <f t="shared" ca="1" si="4"/>
        <v>GoldHeraeus Metals Hong Kong Ltd.</v>
      </c>
    </row>
    <row r="8" spans="1:34" s="210" customFormat="1" ht="20.149999999999999" customHeight="1">
      <c r="A8" s="245" t="s">
        <v>663</v>
      </c>
      <c r="B8" s="166" t="str">
        <f ca="1">IF(LEN(A8)=0,"",INDEX('Smelter Look-up'!$A:$A,MATCH($A8,'Smelter Look-up'!$E:$E,0)))</f>
        <v>Gold</v>
      </c>
      <c r="C8" s="170" t="str">
        <f ca="1">IF(LEN(A8)=0,"",INDEX('Smelter Look-up'!$C:$C,MATCH($A8,'Smelter Look-up'!$E:$E,0)))</f>
        <v>Asahi Refining Canada Ltd.</v>
      </c>
      <c r="D8" s="213"/>
      <c r="E8" s="166" t="str">
        <f ca="1">IF(ISERROR($V8),"",OFFSET('Smelter Look-up'!$D$4,$V8-4,0)&amp;"")</f>
        <v>CANADA</v>
      </c>
      <c r="F8" s="166" t="str">
        <f ca="1">IF(ISERROR($V8),"",OFFSET('Smelter Look-up'!$E$4,$V8-4,0))</f>
        <v>CID000924</v>
      </c>
      <c r="G8" s="166" t="str">
        <f ca="1">IF(C8=$X$4,IF(ISERROR($V8),"Enter smelter details","RMI"),IF(ISERROR($V8),"",OFFSET('Smelter Look-up'!$F$4,$V8-4,0)))</f>
        <v>RMI</v>
      </c>
      <c r="H8" s="167">
        <f ca="1">IF(ISERROR($V8),"",OFFSET('Smelter Look-up'!$G$4,$V8-4,0))</f>
        <v>0</v>
      </c>
      <c r="I8" s="168" t="str">
        <f ca="1">IF(ISERROR($V8),"",OFFSET('Smelter Look-up'!$H$4,$V8-4,0))</f>
        <v>Brampton</v>
      </c>
      <c r="J8" s="168" t="str">
        <f ca="1">IF(ISERROR($V8),"",OFFSET('Smelter Look-up'!$I$4,$V8-4,0))</f>
        <v>Ontario</v>
      </c>
      <c r="K8" s="207"/>
      <c r="L8" s="207"/>
      <c r="M8" s="207"/>
      <c r="N8" s="207"/>
      <c r="O8" s="207"/>
      <c r="P8" s="169"/>
      <c r="Q8" s="208"/>
      <c r="R8" s="166" t="str">
        <f ca="1">IF(ISERROR($V8),"",OFFSET('Smelter Look-up'!$C$4,$V8-4,0)&amp;"")</f>
        <v>Asahi Refining Canada Ltd.</v>
      </c>
      <c r="S8" s="165" t="str">
        <f t="shared" ca="1" si="2"/>
        <v>CA</v>
      </c>
      <c r="T8" s="165" t="str">
        <f ca="1">IF(B8="","",IF(ISERROR(MATCH($J8,SorP!$B$1:$B$6261,0)),"",INDIRECT("'SorP'!$A$"&amp;MATCH($S8&amp;$J8,SorP!C:C,0))))</f>
        <v>CA-ON</v>
      </c>
      <c r="U8" s="185"/>
      <c r="V8" s="209">
        <f ca="1">IF(C8="",NA(),IF(OR(C8="Smelter not listed",C8="Smelter not yet identified"),MATCH($B8&amp;$D8,'Smelter Look-up'!$J:$J,0),MATCH($B8&amp;$C8,'Smelter Look-up'!$J:$J,0)))</f>
        <v>34</v>
      </c>
      <c r="X8" s="210">
        <f t="shared" ca="1" si="3"/>
        <v>0</v>
      </c>
      <c r="AB8" s="211" t="str">
        <f t="shared" ca="1" si="4"/>
        <v>GoldAsahi Refining Canada Ltd.</v>
      </c>
    </row>
    <row r="9" spans="1:34" s="210" customFormat="1" ht="20.149999999999999" customHeight="1">
      <c r="A9" s="245" t="s">
        <v>742</v>
      </c>
      <c r="B9" s="166" t="str">
        <f ca="1">IF(LEN(A9)=0,"",INDEX('Smelter Look-up'!$A:$A,MATCH($A9,'Smelter Look-up'!$E:$E,0)))</f>
        <v>Tin</v>
      </c>
      <c r="C9" s="170" t="str">
        <f ca="1">IF(LEN(A9)=0,"",INDEX('Smelter Look-up'!$C:$C,MATCH($A9,'Smelter Look-up'!$E:$E,0)))</f>
        <v>China Tin Group Co., Ltd.</v>
      </c>
      <c r="D9" s="213"/>
      <c r="E9" s="166" t="str">
        <f ca="1">IF(ISERROR($V9),"",OFFSET('Smelter Look-up'!$D$4,$V9-4,0)&amp;"")</f>
        <v>CHINA</v>
      </c>
      <c r="F9" s="166" t="str">
        <f ca="1">IF(ISERROR($V9),"",OFFSET('Smelter Look-up'!$E$4,$V9-4,0))</f>
        <v>CID001070</v>
      </c>
      <c r="G9" s="166" t="str">
        <f ca="1">IF(C9=$X$4,IF(ISERROR($V9),"Enter smelter details","RMI"),IF(ISERROR($V9),"",OFFSET('Smelter Look-up'!$F$4,$V9-4,0)))</f>
        <v>RMI</v>
      </c>
      <c r="H9" s="167">
        <f ca="1">IF(ISERROR($V9),"",OFFSET('Smelter Look-up'!$G$4,$V9-4,0))</f>
        <v>0</v>
      </c>
      <c r="I9" s="168" t="str">
        <f ca="1">IF(ISERROR($V9),"",OFFSET('Smelter Look-up'!$H$4,$V9-4,0))</f>
        <v>Laibin</v>
      </c>
      <c r="J9" s="168" t="str">
        <f ca="1">IF(ISERROR($V9),"",OFFSET('Smelter Look-up'!$I$4,$V9-4,0))</f>
        <v>Guangxi Zhuangzu Zizhiqu</v>
      </c>
      <c r="K9" s="207"/>
      <c r="L9" s="207"/>
      <c r="M9" s="207"/>
      <c r="N9" s="207"/>
      <c r="O9" s="207"/>
      <c r="P9" s="169"/>
      <c r="Q9" s="208"/>
      <c r="R9" s="166" t="str">
        <f ca="1">IF(ISERROR($V9),"",OFFSET('Smelter Look-up'!$C$4,$V9-4,0)&amp;"")</f>
        <v>China Tin Group Co., Ltd.</v>
      </c>
      <c r="S9" s="165" t="str">
        <f t="shared" ca="1" si="2"/>
        <v>CN</v>
      </c>
      <c r="T9" s="165" t="str">
        <f ca="1">IF(B9="","",IF(ISERROR(MATCH($J9,SorP!$B$1:$B$6261,0)),"",INDIRECT("'SorP'!$A$"&amp;MATCH($S9&amp;$J9,SorP!C:C,0))))</f>
        <v>CN-GX</v>
      </c>
      <c r="U9" s="185"/>
      <c r="V9" s="209">
        <f ca="1">IF(C9="",NA(),IF(OR(C9="Smelter not listed",C9="Smelter not yet identified"),MATCH($B9&amp;$D9,'Smelter Look-up'!$J:$J,0),MATCH($B9&amp;$C9,'Smelter Look-up'!$J:$J,0)))</f>
        <v>431</v>
      </c>
      <c r="X9" s="210">
        <f t="shared" ca="1" si="3"/>
        <v>0</v>
      </c>
      <c r="AB9" s="211" t="str">
        <f t="shared" ca="1" si="4"/>
        <v>TinChina Tin Group Co., Ltd.</v>
      </c>
    </row>
    <row r="10" spans="1:34" s="210" customFormat="1" ht="20.149999999999999" customHeight="1">
      <c r="A10" s="245" t="s">
        <v>1699</v>
      </c>
      <c r="B10" s="166" t="str">
        <f ca="1">IF(LEN(A10)=0,"",INDEX('Smelter Look-up'!$A:$A,MATCH($A10,'Smelter Look-up'!$E:$E,0)))</f>
        <v>Tin</v>
      </c>
      <c r="C10" s="170" t="str">
        <f ca="1">IF(LEN(A10)=0,"",INDEX('Smelter Look-up'!$C:$C,MATCH($A10,'Smelter Look-up'!$E:$E,0)))</f>
        <v>Metallic Resources, Inc.</v>
      </c>
      <c r="D10" s="213"/>
      <c r="E10" s="166" t="str">
        <f ca="1">IF(ISERROR($V10),"",OFFSET('Smelter Look-up'!$D$4,$V10-4,0)&amp;"")</f>
        <v>UNITED STATES OF AMERICA</v>
      </c>
      <c r="F10" s="166" t="str">
        <f ca="1">IF(ISERROR($V10),"",OFFSET('Smelter Look-up'!$E$4,$V10-4,0))</f>
        <v>CID001142</v>
      </c>
      <c r="G10" s="166" t="str">
        <f ca="1">IF(C10=$X$4,IF(ISERROR($V10),"Enter smelter details","RMI"),IF(ISERROR($V10),"",OFFSET('Smelter Look-up'!$F$4,$V10-4,0)))</f>
        <v>RMI</v>
      </c>
      <c r="H10" s="167">
        <f ca="1">IF(ISERROR($V10),"",OFFSET('Smelter Look-up'!$G$4,$V10-4,0))</f>
        <v>0</v>
      </c>
      <c r="I10" s="168" t="str">
        <f ca="1">IF(ISERROR($V10),"",OFFSET('Smelter Look-up'!$H$4,$V10-4,0))</f>
        <v>Twinsburg</v>
      </c>
      <c r="J10" s="168" t="str">
        <f ca="1">IF(ISERROR($V10),"",OFFSET('Smelter Look-up'!$I$4,$V10-4,0))</f>
        <v>Ohio</v>
      </c>
      <c r="K10" s="207"/>
      <c r="L10" s="207"/>
      <c r="M10" s="207"/>
      <c r="N10" s="207"/>
      <c r="O10" s="207"/>
      <c r="P10" s="169"/>
      <c r="Q10" s="208"/>
      <c r="R10" s="166" t="str">
        <f ca="1">IF(ISERROR($V10),"",OFFSET('Smelter Look-up'!$C$4,$V10-4,0)&amp;"")</f>
        <v>Metallic Resources, Inc.</v>
      </c>
      <c r="S10" s="165" t="str">
        <f t="shared" ca="1" si="2"/>
        <v>US</v>
      </c>
      <c r="T10" s="165" t="str">
        <f ca="1">IF(B10="","",IF(ISERROR(MATCH($J10,SorP!$B$1:$B$6261,0)),"",INDIRECT("'SorP'!$A$"&amp;MATCH($S10&amp;$J10,SorP!C:C,0))))</f>
        <v>US-OH</v>
      </c>
      <c r="U10" s="185"/>
      <c r="V10" s="209">
        <f ca="1">IF(C10="",NA(),IF(OR(C10="Smelter not listed",C10="Smelter not yet identified"),MATCH($B10&amp;$D10,'Smelter Look-up'!$J:$J,0),MATCH($B10&amp;$C10,'Smelter Look-up'!$J:$J,0)))</f>
        <v>495</v>
      </c>
      <c r="X10" s="210">
        <f t="shared" ca="1" si="3"/>
        <v>0</v>
      </c>
      <c r="AB10" s="211" t="str">
        <f t="shared" ca="1" si="4"/>
        <v>TinMetallic Resources, Inc.</v>
      </c>
    </row>
    <row r="11" spans="1:34" s="210" customFormat="1" ht="20.149999999999999" customHeight="1">
      <c r="A11" s="245" t="s">
        <v>680</v>
      </c>
      <c r="B11" s="166" t="str">
        <f ca="1">IF(LEN(A11)=0,"",INDEX('Smelter Look-up'!$A:$A,MATCH($A11,'Smelter Look-up'!$E:$E,0)))</f>
        <v>Gold</v>
      </c>
      <c r="C11" s="170" t="str">
        <f ca="1">IF(LEN(A11)=0,"",INDEX('Smelter Look-up'!$C:$C,MATCH($A11,'Smelter Look-up'!$E:$E,0)))</f>
        <v>Metalor USA Refining Corporation</v>
      </c>
      <c r="D11" s="213"/>
      <c r="E11" s="166" t="str">
        <f ca="1">IF(ISERROR($V11),"",OFFSET('Smelter Look-up'!$D$4,$V11-4,0)&amp;"")</f>
        <v>UNITED STATES OF AMERICA</v>
      </c>
      <c r="F11" s="166" t="str">
        <f ca="1">IF(ISERROR($V11),"",OFFSET('Smelter Look-up'!$E$4,$V11-4,0))</f>
        <v>CID001157</v>
      </c>
      <c r="G11" s="166" t="str">
        <f ca="1">IF(C11=$X$4,IF(ISERROR($V11),"Enter smelter details","RMI"),IF(ISERROR($V11),"",OFFSET('Smelter Look-up'!$F$4,$V11-4,0)))</f>
        <v>RMI</v>
      </c>
      <c r="H11" s="167">
        <f ca="1">IF(ISERROR($V11),"",OFFSET('Smelter Look-up'!$G$4,$V11-4,0))</f>
        <v>0</v>
      </c>
      <c r="I11" s="168" t="str">
        <f ca="1">IF(ISERROR($V11),"",OFFSET('Smelter Look-up'!$H$4,$V11-4,0))</f>
        <v>North Attleboro</v>
      </c>
      <c r="J11" s="168" t="str">
        <f ca="1">IF(ISERROR($V11),"",OFFSET('Smelter Look-up'!$I$4,$V11-4,0))</f>
        <v>Massachusetts</v>
      </c>
      <c r="K11" s="207"/>
      <c r="L11" s="207"/>
      <c r="M11" s="207"/>
      <c r="N11" s="207"/>
      <c r="O11" s="207"/>
      <c r="P11" s="169"/>
      <c r="Q11" s="208"/>
      <c r="R11" s="166" t="str">
        <f ca="1">IF(ISERROR($V11),"",OFFSET('Smelter Look-up'!$C$4,$V11-4,0)&amp;"")</f>
        <v>Metalor USA Refining Corporation</v>
      </c>
      <c r="S11" s="165" t="str">
        <f t="shared" ca="1" si="2"/>
        <v>US</v>
      </c>
      <c r="T11" s="165" t="str">
        <f ca="1">IF(B11="","",IF(ISERROR(MATCH($J11,SorP!$B$1:$B$6261,0)),"",INDIRECT("'SorP'!$A$"&amp;MATCH($S11&amp;$J11,SorP!C:C,0))))</f>
        <v>US-MA</v>
      </c>
      <c r="U11" s="185"/>
      <c r="V11" s="209">
        <f ca="1">IF(C11="",NA(),IF(OR(C11="Smelter not listed",C11="Smelter not yet identified"),MATCH($B11&amp;$D11,'Smelter Look-up'!$J:$J,0),MATCH($B11&amp;$C11,'Smelter Look-up'!$J:$J,0)))</f>
        <v>197</v>
      </c>
      <c r="X11" s="210">
        <f t="shared" ca="1" si="3"/>
        <v>0</v>
      </c>
      <c r="AB11" s="211" t="str">
        <f t="shared" ca="1" si="4"/>
        <v>GoldMetalor USA Refining Corporation</v>
      </c>
    </row>
    <row r="12" spans="1:34" s="210" customFormat="1" ht="20.149999999999999" customHeight="1">
      <c r="A12" s="245" t="s">
        <v>681</v>
      </c>
      <c r="B12" s="166" t="str">
        <f ca="1">IF(LEN(A12)=0,"",INDEX('Smelter Look-up'!$A:$A,MATCH($A12,'Smelter Look-up'!$E:$E,0)))</f>
        <v>Gold</v>
      </c>
      <c r="C12" s="170" t="str">
        <f ca="1">IF(LEN(A12)=0,"",INDEX('Smelter Look-up'!$C:$C,MATCH($A12,'Smelter Look-up'!$E:$E,0)))</f>
        <v>Metalurgica Met-Mex Penoles S.A. De C.V.</v>
      </c>
      <c r="D12" s="213"/>
      <c r="E12" s="166" t="str">
        <f ca="1">IF(ISERROR($V12),"",OFFSET('Smelter Look-up'!$D$4,$V12-4,0)&amp;"")</f>
        <v>MEXICO</v>
      </c>
      <c r="F12" s="166" t="str">
        <f ca="1">IF(ISERROR($V12),"",OFFSET('Smelter Look-up'!$E$4,$V12-4,0))</f>
        <v>CID001161</v>
      </c>
      <c r="G12" s="166" t="str">
        <f ca="1">IF(C12=$X$4,IF(ISERROR($V12),"Enter smelter details","RMI"),IF(ISERROR($V12),"",OFFSET('Smelter Look-up'!$F$4,$V12-4,0)))</f>
        <v>RMI</v>
      </c>
      <c r="H12" s="167">
        <f ca="1">IF(ISERROR($V12),"",OFFSET('Smelter Look-up'!$G$4,$V12-4,0))</f>
        <v>0</v>
      </c>
      <c r="I12" s="168" t="str">
        <f ca="1">IF(ISERROR($V12),"",OFFSET('Smelter Look-up'!$H$4,$V12-4,0))</f>
        <v>Torreon</v>
      </c>
      <c r="J12" s="168" t="str">
        <f ca="1">IF(ISERROR($V12),"",OFFSET('Smelter Look-up'!$I$4,$V12-4,0))</f>
        <v>Coahuila de Zaragoza</v>
      </c>
      <c r="K12" s="207"/>
      <c r="L12" s="207"/>
      <c r="M12" s="207"/>
      <c r="N12" s="207"/>
      <c r="O12" s="207"/>
      <c r="P12" s="169"/>
      <c r="Q12" s="208"/>
      <c r="R12" s="166" t="str">
        <f ca="1">IF(ISERROR($V12),"",OFFSET('Smelter Look-up'!$C$4,$V12-4,0)&amp;"")</f>
        <v>Metalurgica Met-Mex Penoles S.A. De C.V.</v>
      </c>
      <c r="S12" s="165" t="str">
        <f t="shared" ca="1" si="2"/>
        <v>MX</v>
      </c>
      <c r="T12" s="165" t="str">
        <f ca="1">IF(B12="","",IF(ISERROR(MATCH($J12,SorP!$B$1:$B$6261,0)),"",INDIRECT("'SorP'!$A$"&amp;MATCH($S12&amp;$J12,SorP!C:C,0))))</f>
        <v>MX-COA</v>
      </c>
      <c r="U12" s="185"/>
      <c r="V12" s="209">
        <f ca="1">IF(C12="",NA(),IF(OR(C12="Smelter not listed",C12="Smelter not yet identified"),MATCH($B12&amp;$D12,'Smelter Look-up'!$J:$J,0),MATCH($B12&amp;$C12,'Smelter Look-up'!$J:$J,0)))</f>
        <v>198</v>
      </c>
      <c r="X12" s="210">
        <f t="shared" ca="1" si="3"/>
        <v>0</v>
      </c>
      <c r="AB12" s="211" t="str">
        <f t="shared" ca="1" si="4"/>
        <v>GoldMetalurgica Met-Mex Penoles S.A. De C.V.</v>
      </c>
    </row>
    <row r="13" spans="1:34" s="210" customFormat="1" ht="20.149999999999999" customHeight="1">
      <c r="A13" s="245" t="s">
        <v>743</v>
      </c>
      <c r="B13" s="166" t="str">
        <f ca="1">IF(LEN(A13)=0,"",INDEX('Smelter Look-up'!$A:$A,MATCH($A13,'Smelter Look-up'!$E:$E,0)))</f>
        <v>Tin</v>
      </c>
      <c r="C13" s="170" t="str">
        <f ca="1">IF(LEN(A13)=0,"",INDEX('Smelter Look-up'!$C:$C,MATCH($A13,'Smelter Look-up'!$E:$E,0)))</f>
        <v>Mineracao Taboca S.A.</v>
      </c>
      <c r="D13" s="213"/>
      <c r="E13" s="166" t="str">
        <f ca="1">IF(ISERROR($V13),"",OFFSET('Smelter Look-up'!$D$4,$V13-4,0)&amp;"")</f>
        <v>BRAZIL</v>
      </c>
      <c r="F13" s="166" t="str">
        <f ca="1">IF(ISERROR($V13),"",OFFSET('Smelter Look-up'!$E$4,$V13-4,0))</f>
        <v>CID001173</v>
      </c>
      <c r="G13" s="166" t="str">
        <f ca="1">IF(C13=$X$4,IF(ISERROR($V13),"Enter smelter details","RMI"),IF(ISERROR($V13),"",OFFSET('Smelter Look-up'!$F$4,$V13-4,0)))</f>
        <v>RMI</v>
      </c>
      <c r="H13" s="167">
        <f ca="1">IF(ISERROR($V13),"",OFFSET('Smelter Look-up'!$G$4,$V13-4,0))</f>
        <v>0</v>
      </c>
      <c r="I13" s="168" t="str">
        <f ca="1">IF(ISERROR($V13),"",OFFSET('Smelter Look-up'!$H$4,$V13-4,0))</f>
        <v>Pirapora de Bom Jesus</v>
      </c>
      <c r="J13" s="168" t="str">
        <f ca="1">IF(ISERROR($V13),"",OFFSET('Smelter Look-up'!$I$4,$V13-4,0))</f>
        <v>São Paulo</v>
      </c>
      <c r="K13" s="207"/>
      <c r="L13" s="207"/>
      <c r="M13" s="207"/>
      <c r="N13" s="207"/>
      <c r="O13" s="207"/>
      <c r="P13" s="169"/>
      <c r="Q13" s="208"/>
      <c r="R13" s="166" t="str">
        <f ca="1">IF(ISERROR($V13),"",OFFSET('Smelter Look-up'!$C$4,$V13-4,0)&amp;"")</f>
        <v>Mineracao Taboca S.A.</v>
      </c>
      <c r="S13" s="165" t="str">
        <f t="shared" ca="1" si="2"/>
        <v>BR</v>
      </c>
      <c r="T13" s="165" t="str">
        <f ca="1">IF(B13="","",IF(ISERROR(MATCH($J13,SorP!$B$1:$B$6261,0)),"",INDIRECT("'SorP'!$A$"&amp;MATCH($S13&amp;$J13,SorP!C:C,0))))</f>
        <v>BR-SP</v>
      </c>
      <c r="U13" s="185"/>
      <c r="V13" s="209">
        <f ca="1">IF(C13="",NA(),IF(OR(C13="Smelter not listed",C13="Smelter not yet identified"),MATCH($B13&amp;$D13,'Smelter Look-up'!$J:$J,0),MATCH($B13&amp;$C13,'Smelter Look-up'!$J:$J,0)))</f>
        <v>498</v>
      </c>
      <c r="X13" s="210">
        <f t="shared" ca="1" si="3"/>
        <v>0</v>
      </c>
      <c r="AB13" s="211" t="str">
        <f t="shared" ca="1" si="4"/>
        <v>TinMineracao Taboca S.A.</v>
      </c>
    </row>
    <row r="14" spans="1:34" s="210" customFormat="1" ht="20.149999999999999" customHeight="1">
      <c r="A14" s="245" t="s">
        <v>744</v>
      </c>
      <c r="B14" s="166" t="str">
        <f ca="1">IF(LEN(A14)=0,"",INDEX('Smelter Look-up'!$A:$A,MATCH($A14,'Smelter Look-up'!$E:$E,0)))</f>
        <v>Tin</v>
      </c>
      <c r="C14" s="170" t="str">
        <f ca="1">IF(LEN(A14)=0,"",INDEX('Smelter Look-up'!$C:$C,MATCH($A14,'Smelter Look-up'!$E:$E,0)))</f>
        <v>Minsur</v>
      </c>
      <c r="D14" s="213"/>
      <c r="E14" s="166" t="str">
        <f ca="1">IF(ISERROR($V14),"",OFFSET('Smelter Look-up'!$D$4,$V14-4,0)&amp;"")</f>
        <v>PERU</v>
      </c>
      <c r="F14" s="166" t="str">
        <f ca="1">IF(ISERROR($V14),"",OFFSET('Smelter Look-up'!$E$4,$V14-4,0))</f>
        <v>CID001182</v>
      </c>
      <c r="G14" s="166" t="str">
        <f ca="1">IF(C14=$X$4,IF(ISERROR($V14),"Enter smelter details","RMI"),IF(ISERROR($V14),"",OFFSET('Smelter Look-up'!$F$4,$V14-4,0)))</f>
        <v>RMI</v>
      </c>
      <c r="H14" s="167">
        <f ca="1">IF(ISERROR($V14),"",OFFSET('Smelter Look-up'!$G$4,$V14-4,0))</f>
        <v>0</v>
      </c>
      <c r="I14" s="168" t="str">
        <f ca="1">IF(ISERROR($V14),"",OFFSET('Smelter Look-up'!$H$4,$V14-4,0))</f>
        <v>Paracas</v>
      </c>
      <c r="J14" s="168" t="str">
        <f ca="1">IF(ISERROR($V14),"",OFFSET('Smelter Look-up'!$I$4,$V14-4,0))</f>
        <v>Ika</v>
      </c>
      <c r="K14" s="207"/>
      <c r="L14" s="207"/>
      <c r="M14" s="207"/>
      <c r="N14" s="207"/>
      <c r="O14" s="207"/>
      <c r="P14" s="169"/>
      <c r="Q14" s="208"/>
      <c r="R14" s="166" t="str">
        <f ca="1">IF(ISERROR($V14),"",OFFSET('Smelter Look-up'!$C$4,$V14-4,0)&amp;"")</f>
        <v>Minsur</v>
      </c>
      <c r="S14" s="165" t="str">
        <f t="shared" ca="1" si="2"/>
        <v>PE</v>
      </c>
      <c r="T14" s="165" t="str">
        <f ca="1">IF(B14="","",IF(ISERROR(MATCH($J14,SorP!$B$1:$B$6261,0)),"",INDIRECT("'SorP'!$A$"&amp;MATCH($S14&amp;$J14,SorP!C:C,0))))</f>
        <v>PE-ICA</v>
      </c>
      <c r="U14" s="185"/>
      <c r="V14" s="209">
        <f ca="1">IF(C14="",NA(),IF(OR(C14="Smelter not listed",C14="Smelter not yet identified"),MATCH($B14&amp;$D14,'Smelter Look-up'!$J:$J,0),MATCH($B14&amp;$C14,'Smelter Look-up'!$J:$J,0)))</f>
        <v>503</v>
      </c>
      <c r="X14" s="210">
        <f t="shared" ca="1" si="3"/>
        <v>0</v>
      </c>
      <c r="AB14" s="211" t="str">
        <f t="shared" ca="1" si="4"/>
        <v>TinMinsur</v>
      </c>
    </row>
    <row r="15" spans="1:34" s="210" customFormat="1" ht="20.149999999999999" customHeight="1">
      <c r="A15" s="245" t="s">
        <v>748</v>
      </c>
      <c r="B15" s="166" t="str">
        <f ca="1">IF(LEN(A15)=0,"",INDEX('Smelter Look-up'!$A:$A,MATCH($A15,'Smelter Look-up'!$E:$E,0)))</f>
        <v>Tin</v>
      </c>
      <c r="C15" s="170" t="str">
        <f ca="1">IF(LEN(A15)=0,"",INDEX('Smelter Look-up'!$C:$C,MATCH($A15,'Smelter Look-up'!$E:$E,0)))</f>
        <v>Operaciones Metalurgicas S.A.</v>
      </c>
      <c r="D15" s="213"/>
      <c r="E15" s="166" t="str">
        <f ca="1">IF(ISERROR($V15),"",OFFSET('Smelter Look-up'!$D$4,$V15-4,0)&amp;"")</f>
        <v>BOLIVIA (PLURINATIONAL STATE OF)</v>
      </c>
      <c r="F15" s="166" t="str">
        <f ca="1">IF(ISERROR($V15),"",OFFSET('Smelter Look-up'!$E$4,$V15-4,0))</f>
        <v>CID001337</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c r="O15" s="207"/>
      <c r="P15" s="169"/>
      <c r="Q15" s="208"/>
      <c r="R15" s="166" t="str">
        <f ca="1">IF(ISERROR($V15),"",OFFSET('Smelter Look-up'!$C$4,$V15-4,0)&amp;"")</f>
        <v>Operaciones Metalurgicas S.A.</v>
      </c>
      <c r="S15" s="165" t="str">
        <f t="shared" ca="1" si="2"/>
        <v>Unknown</v>
      </c>
      <c r="T15" s="165" t="e">
        <f ca="1">IF(B15="","",IF(ISERROR(MATCH($J15,SorP!$B$1:$B$6261,0)),"",INDIRECT("'SorP'!$A$"&amp;MATCH($S15&amp;$J15,SorP!C:C,0))))</f>
        <v>#N/A</v>
      </c>
      <c r="U15" s="185"/>
      <c r="V15" s="209">
        <f ca="1">IF(C15="",NA(),IF(OR(C15="Smelter not listed",C15="Smelter not yet identified"),MATCH($B15&amp;$D15,'Smelter Look-up'!$J:$J,0),MATCH($B15&amp;$C15,'Smelter Look-up'!$J:$J,0)))</f>
        <v>514</v>
      </c>
      <c r="X15" s="210">
        <f t="shared" ca="1" si="3"/>
        <v>0</v>
      </c>
      <c r="AB15" s="211" t="str">
        <f t="shared" ca="1" si="4"/>
        <v>TinOperaciones Metalurgicas S.A.</v>
      </c>
    </row>
    <row r="16" spans="1:34" s="210" customFormat="1" ht="20.149999999999999" customHeight="1">
      <c r="A16" s="245" t="s">
        <v>749</v>
      </c>
      <c r="B16" s="166" t="str">
        <f ca="1">IF(LEN(A16)=0,"",INDEX('Smelter Look-up'!$A:$A,MATCH($A16,'Smelter Look-up'!$E:$E,0)))</f>
        <v>Tin</v>
      </c>
      <c r="C16" s="170" t="str">
        <f ca="1">IF(LEN(A16)=0,"",INDEX('Smelter Look-up'!$C:$C,MATCH($A16,'Smelter Look-up'!$E:$E,0)))</f>
        <v>PT Mitra Stania Prima</v>
      </c>
      <c r="D16" s="213"/>
      <c r="E16" s="166" t="str">
        <f ca="1">IF(ISERROR($V16),"",OFFSET('Smelter Look-up'!$D$4,$V16-4,0)&amp;"")</f>
        <v>INDONESIA</v>
      </c>
      <c r="F16" s="166" t="str">
        <f ca="1">IF(ISERROR($V16),"",OFFSET('Smelter Look-up'!$E$4,$V16-4,0))</f>
        <v>CID001453</v>
      </c>
      <c r="G16" s="166" t="str">
        <f ca="1">IF(C16=$X$4,IF(ISERROR($V16),"Enter smelter details","RMI"),IF(ISERROR($V16),"",OFFSET('Smelter Look-up'!$F$4,$V16-4,0)))</f>
        <v>RMI</v>
      </c>
      <c r="H16" s="167">
        <f ca="1">IF(ISERROR($V16),"",OFFSET('Smelter Look-up'!$G$4,$V16-4,0))</f>
        <v>0</v>
      </c>
      <c r="I16" s="168" t="str">
        <f ca="1">IF(ISERROR($V16),"",OFFSET('Smelter Look-up'!$H$4,$V16-4,0))</f>
        <v>Sungailiat</v>
      </c>
      <c r="J16" s="168" t="str">
        <f ca="1">IF(ISERROR($V16),"",OFFSET('Smelter Look-up'!$I$4,$V16-4,0))</f>
        <v>Kepulauan Bangka Belitung</v>
      </c>
      <c r="K16" s="207"/>
      <c r="L16" s="207"/>
      <c r="M16" s="207"/>
      <c r="N16" s="207"/>
      <c r="O16" s="207"/>
      <c r="P16" s="169"/>
      <c r="Q16" s="208"/>
      <c r="R16" s="166" t="str">
        <f ca="1">IF(ISERROR($V16),"",OFFSET('Smelter Look-up'!$C$4,$V16-4,0)&amp;"")</f>
        <v>PT Mitra Stania Prima</v>
      </c>
      <c r="S16" s="165" t="str">
        <f t="shared" ca="1" si="2"/>
        <v>ID</v>
      </c>
      <c r="T16" s="165" t="str">
        <f ca="1">IF(B16="","",IF(ISERROR(MATCH($J16,SorP!$B$1:$B$6261,0)),"",INDIRECT("'SorP'!$A$"&amp;MATCH($S16&amp;$J16,SorP!C:C,0))))</f>
        <v>ID-BB</v>
      </c>
      <c r="U16" s="185"/>
      <c r="V16" s="209">
        <f ca="1">IF(C16="",NA(),IF(OR(C16="Smelter not listed",C16="Smelter not yet identified"),MATCH($B16&amp;$D16,'Smelter Look-up'!$J:$J,0),MATCH($B16&amp;$C16,'Smelter Look-up'!$J:$J,0)))</f>
        <v>524</v>
      </c>
      <c r="X16" s="210">
        <f t="shared" ca="1" si="3"/>
        <v>0</v>
      </c>
      <c r="AB16" s="211" t="str">
        <f t="shared" ca="1" si="4"/>
        <v>TinPT Mitra Stania Prima</v>
      </c>
    </row>
    <row r="17" spans="1:28" s="210" customFormat="1" ht="20.149999999999999" customHeight="1">
      <c r="A17" s="245" t="s">
        <v>767</v>
      </c>
      <c r="B17" s="166" t="str">
        <f ca="1">IF(LEN(A17)=0,"",INDEX('Smelter Look-up'!$A:$A,MATCH($A17,'Smelter Look-up'!$E:$E,0)))</f>
        <v>Tin</v>
      </c>
      <c r="C17" s="170" t="str">
        <f ca="1">IF(LEN(A17)=0,"",INDEX('Smelter Look-up'!$C:$C,MATCH($A17,'Smelter Look-up'!$E:$E,0)))</f>
        <v>PT Timah Tbk Kundur</v>
      </c>
      <c r="D17" s="213"/>
      <c r="E17" s="166" t="str">
        <f ca="1">IF(ISERROR($V17),"",OFFSET('Smelter Look-up'!$D$4,$V17-4,0)&amp;"")</f>
        <v>INDONESIA</v>
      </c>
      <c r="F17" s="166" t="str">
        <f ca="1">IF(ISERROR($V17),"",OFFSET('Smelter Look-up'!$E$4,$V17-4,0))</f>
        <v>CID001477</v>
      </c>
      <c r="G17" s="166" t="str">
        <f ca="1">IF(C17=$X$4,IF(ISERROR($V17),"Enter smelter details","RMI"),IF(ISERROR($V17),"",OFFSET('Smelter Look-up'!$F$4,$V17-4,0)))</f>
        <v>RMI</v>
      </c>
      <c r="H17" s="167">
        <f ca="1">IF(ISERROR($V17),"",OFFSET('Smelter Look-up'!$G$4,$V17-4,0))</f>
        <v>0</v>
      </c>
      <c r="I17" s="168" t="str">
        <f ca="1">IF(ISERROR($V17),"",OFFSET('Smelter Look-up'!$H$4,$V17-4,0))</f>
        <v>Kundur</v>
      </c>
      <c r="J17" s="168" t="str">
        <f ca="1">IF(ISERROR($V17),"",OFFSET('Smelter Look-up'!$I$4,$V17-4,0))</f>
        <v>Riau</v>
      </c>
      <c r="K17" s="207"/>
      <c r="L17" s="207"/>
      <c r="M17" s="207"/>
      <c r="N17" s="207"/>
      <c r="O17" s="207"/>
      <c r="P17" s="169"/>
      <c r="Q17" s="208"/>
      <c r="R17" s="166" t="str">
        <f ca="1">IF(ISERROR($V17),"",OFFSET('Smelter Look-up'!$C$4,$V17-4,0)&amp;"")</f>
        <v>PT Timah Tbk Kundur</v>
      </c>
      <c r="S17" s="165" t="str">
        <f t="shared" ca="1" si="2"/>
        <v>ID</v>
      </c>
      <c r="T17" s="165" t="str">
        <f ca="1">IF(B17="","",IF(ISERROR(MATCH($J17,SorP!$B$1:$B$6261,0)),"",INDIRECT("'SorP'!$A$"&amp;MATCH($S17&amp;$J17,SorP!C:C,0))))</f>
        <v>ID-RI</v>
      </c>
      <c r="U17" s="185"/>
      <c r="V17" s="209">
        <f ca="1">IF(C17="",NA(),IF(OR(C17="Smelter not listed",C17="Smelter not yet identified"),MATCH($B17&amp;$D17,'Smelter Look-up'!$J:$J,0),MATCH($B17&amp;$C17,'Smelter Look-up'!$J:$J,0)))</f>
        <v>531</v>
      </c>
      <c r="X17" s="210">
        <f t="shared" ca="1" si="3"/>
        <v>0</v>
      </c>
      <c r="AB17" s="211" t="str">
        <f t="shared" ca="1" si="4"/>
        <v>TinPT Timah Tbk Kundur</v>
      </c>
    </row>
    <row r="18" spans="1:28" s="210" customFormat="1" ht="20.149999999999999" customHeight="1">
      <c r="A18" s="165" t="s">
        <v>750</v>
      </c>
      <c r="B18" s="166" t="str">
        <f ca="1">IF(LEN(A18)=0,"",INDEX('Smelter Look-up'!$A:$A,MATCH($A18,'Smelter Look-up'!$E:$E,0)))</f>
        <v>Tin</v>
      </c>
      <c r="C18" s="170" t="str">
        <f ca="1">IF(LEN(A18)=0,"",INDEX('Smelter Look-up'!$C:$C,MATCH($A18,'Smelter Look-up'!$E:$E,0)))</f>
        <v>PT Timah Tbk Mentok</v>
      </c>
      <c r="D18" s="213"/>
      <c r="E18" s="166" t="str">
        <f ca="1">IF(ISERROR($V18),"",OFFSET('Smelter Look-up'!$D$4,$V18-4,0)&amp;"")</f>
        <v>INDONESIA</v>
      </c>
      <c r="F18" s="166" t="str">
        <f ca="1">IF(ISERROR($V18),"",OFFSET('Smelter Look-up'!$E$4,$V18-4,0))</f>
        <v>CID001482</v>
      </c>
      <c r="G18" s="166" t="str">
        <f ca="1">IF(C18=$X$4,IF(ISERROR($V18),"Enter smelter details","RMI"),IF(ISERROR($V18),"",OFFSET('Smelter Look-up'!$F$4,$V18-4,0)))</f>
        <v>RMI</v>
      </c>
      <c r="H18" s="167">
        <f ca="1">IF(ISERROR($V18),"",OFFSET('Smelter Look-up'!$G$4,$V18-4,0))</f>
        <v>0</v>
      </c>
      <c r="I18" s="168" t="str">
        <f ca="1">IF(ISERROR($V18),"",OFFSET('Smelter Look-up'!$H$4,$V18-4,0))</f>
        <v>Mentok</v>
      </c>
      <c r="J18" s="168" t="str">
        <f ca="1">IF(ISERROR($V18),"",OFFSET('Smelter Look-up'!$I$4,$V18-4,0))</f>
        <v>Kepulauan Bangka Belitung</v>
      </c>
      <c r="K18" s="207"/>
      <c r="L18" s="207"/>
      <c r="M18" s="207"/>
      <c r="N18" s="207"/>
      <c r="O18" s="207"/>
      <c r="P18" s="169"/>
      <c r="Q18" s="208"/>
      <c r="R18" s="166" t="str">
        <f ca="1">IF(ISERROR($V18),"",OFFSET('Smelter Look-up'!$C$4,$V18-4,0)&amp;"")</f>
        <v>PT Timah Tbk Mentok</v>
      </c>
      <c r="S18" s="165" t="str">
        <f t="shared" ca="1" si="2"/>
        <v>ID</v>
      </c>
      <c r="T18" s="165" t="str">
        <f ca="1">IF(B18="","",IF(ISERROR(MATCH($J18,SorP!$B$1:$B$6261,0)),"",INDIRECT("'SorP'!$A$"&amp;MATCH($S18&amp;$J18,SorP!C:C,0))))</f>
        <v>ID-BB</v>
      </c>
      <c r="U18" s="185"/>
      <c r="V18" s="209">
        <f ca="1">IF(C18="",NA(),IF(OR(C18="Smelter not listed",C18="Smelter not yet identified"),MATCH($B18&amp;$D18,'Smelter Look-up'!$J:$J,0),MATCH($B18&amp;$C18,'Smelter Look-up'!$J:$J,0)))</f>
        <v>532</v>
      </c>
      <c r="X18" s="210">
        <f t="shared" ca="1" si="3"/>
        <v>0</v>
      </c>
      <c r="AB18" s="211" t="str">
        <f t="shared" ca="1" si="4"/>
        <v>TinPT Timah Tbk Mentok</v>
      </c>
    </row>
    <row r="19" spans="1:28" s="210" customFormat="1" ht="19.75">
      <c r="A19" s="165" t="s">
        <v>696</v>
      </c>
      <c r="B19" s="166" t="str">
        <f ca="1">IF(LEN(A19)=0,"",INDEX('Smelter Look-up'!$A:$A,MATCH($A19,'Smelter Look-up'!$E:$E,0)))</f>
        <v>Gold</v>
      </c>
      <c r="C19" s="170" t="str">
        <f ca="1">IF(LEN(A19)=0,"",INDEX('Smelter Look-up'!$C:$C,MATCH($A19,'Smelter Look-up'!$E:$E,0)))</f>
        <v>Royal Canadian Mint</v>
      </c>
      <c r="D19" s="213"/>
      <c r="E19" s="166" t="str">
        <f ca="1">IF(ISERROR($V19),"",OFFSET('Smelter Look-up'!$D$4,$V19-4,0)&amp;"")</f>
        <v>CANADA</v>
      </c>
      <c r="F19" s="166" t="str">
        <f ca="1">IF(ISERROR($V19),"",OFFSET('Smelter Look-up'!$E$4,$V19-4,0))</f>
        <v>CID001534</v>
      </c>
      <c r="G19" s="166" t="str">
        <f ca="1">IF(C19=$X$4,IF(ISERROR($V19),"Enter smelter details","RMI"),IF(ISERROR($V19),"",OFFSET('Smelter Look-up'!$F$4,$V19-4,0)))</f>
        <v>RMI</v>
      </c>
      <c r="H19" s="167">
        <f ca="1">IF(ISERROR($V19),"",OFFSET('Smelter Look-up'!$G$4,$V19-4,0))</f>
        <v>0</v>
      </c>
      <c r="I19" s="168" t="str">
        <f ca="1">IF(ISERROR($V19),"",OFFSET('Smelter Look-up'!$H$4,$V19-4,0))</f>
        <v>Ottawa</v>
      </c>
      <c r="J19" s="168" t="str">
        <f ca="1">IF(ISERROR($V19),"",OFFSET('Smelter Look-up'!$I$4,$V19-4,0))</f>
        <v>Ontario</v>
      </c>
      <c r="K19" s="207"/>
      <c r="L19" s="207"/>
      <c r="M19" s="207"/>
      <c r="N19" s="207"/>
      <c r="O19" s="207"/>
      <c r="P19" s="169"/>
      <c r="Q19" s="208"/>
      <c r="R19" s="166" t="str">
        <f ca="1">IF(ISERROR($V19),"",OFFSET('Smelter Look-up'!$C$4,$V19-4,0)&amp;"")</f>
        <v>Royal Canadian Mint</v>
      </c>
      <c r="S19" s="165" t="str">
        <f t="shared" ca="1" si="2"/>
        <v>CA</v>
      </c>
      <c r="T19" s="165" t="str">
        <f ca="1">IF(B19="","",IF(ISERROR(MATCH($J19,SorP!$B$1:$B$6261,0)),"",INDIRECT("'SorP'!$A$"&amp;MATCH($S19&amp;$J19,SorP!C:C,0))))</f>
        <v>CA-ON</v>
      </c>
      <c r="U19" s="185"/>
      <c r="V19" s="209">
        <f ca="1">IF(C19="",NA(),IF(OR(C19="Smelter not listed",C19="Smelter not yet identified"),MATCH($B19&amp;$D19,'Smelter Look-up'!$J:$J,0),MATCH($B19&amp;$C19,'Smelter Look-up'!$J:$J,0)))</f>
        <v>245</v>
      </c>
      <c r="X19" s="210">
        <f t="shared" ca="1" si="3"/>
        <v>0</v>
      </c>
      <c r="AB19" s="211" t="str">
        <f t="shared" ca="1" si="4"/>
        <v>GoldRoyal Canadian Mint</v>
      </c>
    </row>
    <row r="20" spans="1:28" s="210" customFormat="1" ht="19.75">
      <c r="A20" s="165" t="s">
        <v>752</v>
      </c>
      <c r="B20" s="166" t="str">
        <f ca="1">IF(LEN(A20)=0,"",INDEX('Smelter Look-up'!$A:$A,MATCH($A20,'Smelter Look-up'!$E:$E,0)))</f>
        <v>Tin</v>
      </c>
      <c r="C20" s="170" t="str">
        <f ca="1">IF(LEN(A20)=0,"",INDEX('Smelter Look-up'!$C:$C,MATCH($A20,'Smelter Look-up'!$E:$E,0)))</f>
        <v>Rui Da Hung</v>
      </c>
      <c r="D20" s="213"/>
      <c r="E20" s="166" t="str">
        <f ca="1">IF(ISERROR($V20),"",OFFSET('Smelter Look-up'!$D$4,$V20-4,0)&amp;"")</f>
        <v>TAIWAN, PROVINCE OF CHINA</v>
      </c>
      <c r="F20" s="166" t="str">
        <f ca="1">IF(ISERROR($V20),"",OFFSET('Smelter Look-up'!$E$4,$V20-4,0))</f>
        <v>CID001539</v>
      </c>
      <c r="G20" s="166" t="str">
        <f ca="1">IF(C20=$X$4,IF(ISERROR($V20),"Enter smelter details","RMI"),IF(ISERROR($V20),"",OFFSET('Smelter Look-up'!$F$4,$V20-4,0)))</f>
        <v>RMI</v>
      </c>
      <c r="H20" s="167">
        <f ca="1">IF(ISERROR($V20),"",OFFSET('Smelter Look-up'!$G$4,$V20-4,0))</f>
        <v>0</v>
      </c>
      <c r="I20" s="168" t="str">
        <f ca="1">IF(ISERROR($V20),"",OFFSET('Smelter Look-up'!$H$4,$V20-4,0))</f>
        <v>Longtan Shiang Taoyuan</v>
      </c>
      <c r="J20" s="168" t="str">
        <f ca="1">IF(ISERROR($V20),"",OFFSET('Smelter Look-up'!$I$4,$V20-4,0))</f>
        <v>Taoyuan</v>
      </c>
      <c r="K20" s="207"/>
      <c r="L20" s="207"/>
      <c r="M20" s="207"/>
      <c r="N20" s="207"/>
      <c r="O20" s="207"/>
      <c r="P20" s="169"/>
      <c r="Q20" s="208"/>
      <c r="R20" s="166" t="str">
        <f ca="1">IF(ISERROR($V20),"",OFFSET('Smelter Look-up'!$C$4,$V20-4,0)&amp;"")</f>
        <v>Rui Da Hung</v>
      </c>
      <c r="S20" s="165" t="str">
        <f t="shared" ca="1" si="2"/>
        <v>TW</v>
      </c>
      <c r="T20" s="165" t="str">
        <f ca="1">IF(B20="","",IF(ISERROR(MATCH($J20,SorP!$B$1:$B$6261,0)),"",INDIRECT("'SorP'!$A$"&amp;MATCH($S20&amp;$J20,SorP!C:C,0))))</f>
        <v>TW-TAO</v>
      </c>
      <c r="U20" s="185"/>
      <c r="V20" s="209">
        <f ca="1">IF(C20="",NA(),IF(OR(C20="Smelter not listed",C20="Smelter not yet identified"),MATCH($B20&amp;$D20,'Smelter Look-up'!$J:$J,0),MATCH($B20&amp;$C20,'Smelter Look-up'!$J:$J,0)))</f>
        <v>537</v>
      </c>
      <c r="X20" s="210">
        <f t="shared" ca="1" si="3"/>
        <v>0</v>
      </c>
      <c r="AB20" s="211" t="str">
        <f t="shared" ca="1" si="4"/>
        <v>TinRui Da Hung</v>
      </c>
    </row>
    <row r="21" spans="1:28" s="210" customFormat="1" ht="19.75">
      <c r="A21" s="165" t="s">
        <v>753</v>
      </c>
      <c r="B21" s="166" t="str">
        <f ca="1">IF(LEN(A21)=0,"",INDEX('Smelter Look-up'!$A:$A,MATCH($A21,'Smelter Look-up'!$E:$E,0)))</f>
        <v>Tin</v>
      </c>
      <c r="C21" s="170" t="str">
        <f ca="1">IF(LEN(A21)=0,"",INDEX('Smelter Look-up'!$C:$C,MATCH($A21,'Smelter Look-up'!$E:$E,0)))</f>
        <v>Thaisarco</v>
      </c>
      <c r="D21" s="213"/>
      <c r="E21" s="166" t="str">
        <f ca="1">IF(ISERROR($V21),"",OFFSET('Smelter Look-up'!$D$4,$V21-4,0)&amp;"")</f>
        <v>THAILAND</v>
      </c>
      <c r="F21" s="166" t="str">
        <f ca="1">IF(ISERROR($V21),"",OFFSET('Smelter Look-up'!$E$4,$V21-4,0))</f>
        <v>CID001898</v>
      </c>
      <c r="G21" s="166" t="str">
        <f ca="1">IF(C21=$X$4,IF(ISERROR($V21),"Enter smelter details","RMI"),IF(ISERROR($V21),"",OFFSET('Smelter Look-up'!$F$4,$V21-4,0)))</f>
        <v>RMI</v>
      </c>
      <c r="H21" s="167">
        <f ca="1">IF(ISERROR($V21),"",OFFSET('Smelter Look-up'!$G$4,$V21-4,0))</f>
        <v>0</v>
      </c>
      <c r="I21" s="168" t="str">
        <f ca="1">IF(ISERROR($V21),"",OFFSET('Smelter Look-up'!$H$4,$V21-4,0))</f>
        <v>Amphur Muang</v>
      </c>
      <c r="J21" s="168" t="str">
        <f ca="1">IF(ISERROR($V21),"",OFFSET('Smelter Look-up'!$I$4,$V21-4,0))</f>
        <v>Phuket</v>
      </c>
      <c r="K21" s="207"/>
      <c r="L21" s="207"/>
      <c r="M21" s="207"/>
      <c r="N21" s="207"/>
      <c r="O21" s="207"/>
      <c r="P21" s="169"/>
      <c r="Q21" s="208"/>
      <c r="R21" s="166" t="str">
        <f ca="1">IF(ISERROR($V21),"",OFFSET('Smelter Look-up'!$C$4,$V21-4,0)&amp;"")</f>
        <v>Thaisarco</v>
      </c>
      <c r="S21" s="165" t="str">
        <f t="shared" ca="1" si="2"/>
        <v>TH</v>
      </c>
      <c r="T21" s="165" t="str">
        <f ca="1">IF(B21="","",IF(ISERROR(MATCH($J21,SorP!$B$1:$B$6261,0)),"",INDIRECT("'SorP'!$A$"&amp;MATCH($S21&amp;$J21,SorP!C:C,0))))</f>
        <v>TH-83</v>
      </c>
      <c r="U21" s="185"/>
      <c r="V21" s="209">
        <f ca="1">IF(C21="",NA(),IF(OR(C21="Smelter not listed",C21="Smelter not yet identified"),MATCH($B21&amp;$D21,'Smelter Look-up'!$J:$J,0),MATCH($B21&amp;$C21,'Smelter Look-up'!$J:$J,0)))</f>
        <v>543</v>
      </c>
      <c r="X21" s="210">
        <f t="shared" ca="1" si="3"/>
        <v>0</v>
      </c>
      <c r="AB21" s="211" t="str">
        <f t="shared" ca="1" si="4"/>
        <v>TinThaisarco</v>
      </c>
    </row>
    <row r="22" spans="1:28" s="210" customFormat="1" ht="19.75">
      <c r="A22" s="165" t="s">
        <v>754</v>
      </c>
      <c r="B22" s="166" t="str">
        <f ca="1">IF(LEN(A22)=0,"",INDEX('Smelter Look-up'!$A:$A,MATCH($A22,'Smelter Look-up'!$E:$E,0)))</f>
        <v>Tin</v>
      </c>
      <c r="C22" s="170" t="str">
        <f ca="1">IF(LEN(A22)=0,"",INDEX('Smelter Look-up'!$C:$C,MATCH($A22,'Smelter Look-up'!$E:$E,0)))</f>
        <v>White Solder Metalurgia e Mineracao Ltda.</v>
      </c>
      <c r="D22" s="213"/>
      <c r="E22" s="166" t="str">
        <f ca="1">IF(ISERROR($V22),"",OFFSET('Smelter Look-up'!$D$4,$V22-4,0)&amp;"")</f>
        <v>BRAZIL</v>
      </c>
      <c r="F22" s="166" t="str">
        <f ca="1">IF(ISERROR($V22),"",OFFSET('Smelter Look-up'!$E$4,$V22-4,0))</f>
        <v>CID002036</v>
      </c>
      <c r="G22" s="166" t="str">
        <f ca="1">IF(C22=$X$4,IF(ISERROR($V22),"Enter smelter details","RMI"),IF(ISERROR($V22),"",OFFSET('Smelter Look-up'!$F$4,$V22-4,0)))</f>
        <v>RMI</v>
      </c>
      <c r="H22" s="167">
        <f ca="1">IF(ISERROR($V22),"",OFFSET('Smelter Look-up'!$G$4,$V22-4,0))</f>
        <v>0</v>
      </c>
      <c r="I22" s="168" t="str">
        <f ca="1">IF(ISERROR($V22),"",OFFSET('Smelter Look-up'!$H$4,$V22-4,0))</f>
        <v>Ariquemes</v>
      </c>
      <c r="J22" s="168" t="str">
        <f ca="1">IF(ISERROR($V22),"",OFFSET('Smelter Look-up'!$I$4,$V22-4,0))</f>
        <v>Rondônia</v>
      </c>
      <c r="K22" s="207"/>
      <c r="L22" s="207"/>
      <c r="M22" s="207"/>
      <c r="N22" s="207"/>
      <c r="O22" s="207"/>
      <c r="P22" s="169"/>
      <c r="Q22" s="208"/>
      <c r="R22" s="166" t="str">
        <f ca="1">IF(ISERROR($V22),"",OFFSET('Smelter Look-up'!$C$4,$V22-4,0)&amp;"")</f>
        <v>White Solder Metalurgia e Mineracao Ltda.</v>
      </c>
      <c r="S22" s="165" t="str">
        <f t="shared" ca="1" si="2"/>
        <v>BR</v>
      </c>
      <c r="T22" s="165" t="str">
        <f ca="1">IF(B22="","",IF(ISERROR(MATCH($J22,SorP!$B$1:$B$6261,0)),"",INDIRECT("'SorP'!$A$"&amp;MATCH($S22&amp;$J22,SorP!C:C,0))))</f>
        <v>BR-RO</v>
      </c>
      <c r="U22" s="185"/>
      <c r="V22" s="209">
        <f ca="1">IF(C22="",NA(),IF(OR(C22="Smelter not listed",C22="Smelter not yet identified"),MATCH($B22&amp;$D22,'Smelter Look-up'!$J:$J,0),MATCH($B22&amp;$C22,'Smelter Look-up'!$J:$J,0)))</f>
        <v>551</v>
      </c>
      <c r="X22" s="210">
        <f t="shared" ca="1" si="3"/>
        <v>0</v>
      </c>
      <c r="AB22" s="211" t="str">
        <f t="shared" ca="1" si="4"/>
        <v>TinWhite Solder Metalurgia e Mineracao Ltda.</v>
      </c>
    </row>
    <row r="23" spans="1:28" s="210" customFormat="1" ht="19.75">
      <c r="A23" s="165" t="s">
        <v>1356</v>
      </c>
      <c r="B23" s="166" t="str">
        <f ca="1">IF(LEN(A23)=0,"",INDEX('Smelter Look-up'!$A:$A,MATCH($A23,'Smelter Look-up'!$E:$E,0)))</f>
        <v>Tin</v>
      </c>
      <c r="C23" s="170" t="str">
        <f ca="1">IF(LEN(A23)=0,"",INDEX('Smelter Look-up'!$C:$C,MATCH($A23,'Smelter Look-up'!$E:$E,0)))</f>
        <v>PT ATD Makmur Mandiri Jaya</v>
      </c>
      <c r="D23" s="213"/>
      <c r="E23" s="166" t="str">
        <f ca="1">IF(ISERROR($V23),"",OFFSET('Smelter Look-up'!$D$4,$V23-4,0)&amp;"")</f>
        <v>INDONESIA</v>
      </c>
      <c r="F23" s="166" t="str">
        <f ca="1">IF(ISERROR($V23),"",OFFSET('Smelter Look-up'!$E$4,$V23-4,0))</f>
        <v>CID002503</v>
      </c>
      <c r="G23" s="166" t="str">
        <f ca="1">IF(C23=$X$4,IF(ISERROR($V23),"Enter smelter details","RMI"),IF(ISERROR($V23),"",OFFSET('Smelter Look-up'!$F$4,$V23-4,0)))</f>
        <v>RMI</v>
      </c>
      <c r="H23" s="167">
        <f ca="1">IF(ISERROR($V23),"",OFFSET('Smelter Look-up'!$G$4,$V23-4,0))</f>
        <v>0</v>
      </c>
      <c r="I23" s="168" t="str">
        <f ca="1">IF(ISERROR($V23),"",OFFSET('Smelter Look-up'!$H$4,$V23-4,0))</f>
        <v>Sungailiat</v>
      </c>
      <c r="J23" s="168" t="str">
        <f ca="1">IF(ISERROR($V23),"",OFFSET('Smelter Look-up'!$I$4,$V23-4,0))</f>
        <v>Kepulauan Bangka Belitung</v>
      </c>
      <c r="K23" s="207"/>
      <c r="L23" s="207"/>
      <c r="M23" s="207"/>
      <c r="N23" s="207"/>
      <c r="O23" s="207"/>
      <c r="P23" s="169"/>
      <c r="Q23" s="208"/>
      <c r="R23" s="166" t="str">
        <f ca="1">IF(ISERROR($V23),"",OFFSET('Smelter Look-up'!$C$4,$V23-4,0)&amp;"")</f>
        <v>PT ATD Makmur Mandiri Jaya</v>
      </c>
      <c r="S23" s="165" t="str">
        <f t="shared" ca="1" si="2"/>
        <v>ID</v>
      </c>
      <c r="T23" s="165" t="str">
        <f ca="1">IF(B23="","",IF(ISERROR(MATCH($J23,SorP!$B$1:$B$6261,0)),"",INDIRECT("'SorP'!$A$"&amp;MATCH($S23&amp;$J23,SorP!C:C,0))))</f>
        <v>ID-BB</v>
      </c>
      <c r="U23" s="185"/>
      <c r="V23" s="209">
        <f ca="1">IF(C23="",NA(),IF(OR(C23="Smelter not listed",C23="Smelter not yet identified"),MATCH($B23&amp;$D23,'Smelter Look-up'!$J:$J,0),MATCH($B23&amp;$C23,'Smelter Look-up'!$J:$J,0)))</f>
        <v>520</v>
      </c>
      <c r="X23" s="210">
        <f t="shared" ca="1" si="3"/>
        <v>0</v>
      </c>
      <c r="AB23" s="211" t="str">
        <f t="shared" ca="1" si="4"/>
        <v>TinPT ATD Makmur Mandiri Jaya</v>
      </c>
    </row>
    <row r="24" spans="1:28" s="210" customFormat="1" ht="19.75">
      <c r="A24" s="165" t="s">
        <v>1728</v>
      </c>
      <c r="B24" s="166" t="str">
        <f ca="1">IF(LEN(A24)=0,"",INDEX('Smelter Look-up'!$A:$A,MATCH($A24,'Smelter Look-up'!$E:$E,0)))</f>
        <v>Tin</v>
      </c>
      <c r="C24" s="170" t="str">
        <f ca="1">IF(LEN(A24)=0,"",INDEX('Smelter Look-up'!$C:$C,MATCH($A24,'Smelter Look-up'!$E:$E,0)))</f>
        <v>Aurubis Beerse</v>
      </c>
      <c r="D24" s="213"/>
      <c r="E24" s="166" t="str">
        <f ca="1">IF(ISERROR($V24),"",OFFSET('Smelter Look-up'!$D$4,$V24-4,0)&amp;"")</f>
        <v>BELGIUM</v>
      </c>
      <c r="F24" s="166" t="str">
        <f ca="1">IF(ISERROR($V24),"",OFFSET('Smelter Look-up'!$E$4,$V24-4,0))</f>
        <v>CID002773</v>
      </c>
      <c r="G24" s="166" t="str">
        <f ca="1">IF(C24=$X$4,IF(ISERROR($V24),"Enter smelter details","RMI"),IF(ISERROR($V24),"",OFFSET('Smelter Look-up'!$F$4,$V24-4,0)))</f>
        <v>RMI</v>
      </c>
      <c r="H24" s="167">
        <f ca="1">IF(ISERROR($V24),"",OFFSET('Smelter Look-up'!$G$4,$V24-4,0))</f>
        <v>0</v>
      </c>
      <c r="I24" s="168" t="str">
        <f ca="1">IF(ISERROR($V24),"",OFFSET('Smelter Look-up'!$H$4,$V24-4,0))</f>
        <v>Beerse</v>
      </c>
      <c r="J24" s="168" t="str">
        <f ca="1">IF(ISERROR($V24),"",OFFSET('Smelter Look-up'!$I$4,$V24-4,0))</f>
        <v>Antwerpen</v>
      </c>
      <c r="K24" s="207"/>
      <c r="L24" s="207"/>
      <c r="M24" s="207"/>
      <c r="N24" s="207"/>
      <c r="O24" s="207"/>
      <c r="P24" s="169"/>
      <c r="Q24" s="208"/>
      <c r="R24" s="166" t="str">
        <f ca="1">IF(ISERROR($V24),"",OFFSET('Smelter Look-up'!$C$4,$V24-4,0)&amp;"")</f>
        <v>Aurubis Beerse</v>
      </c>
      <c r="S24" s="165" t="str">
        <f t="shared" ca="1" si="2"/>
        <v>BE</v>
      </c>
      <c r="T24" s="165" t="str">
        <f ca="1">IF(B24="","",IF(ISERROR(MATCH($J24,SorP!$B$1:$B$6261,0)),"",INDIRECT("'SorP'!$A$"&amp;MATCH($S24&amp;$J24,SorP!C:C,0))))</f>
        <v>BE-VAN</v>
      </c>
      <c r="U24" s="185"/>
      <c r="V24" s="209">
        <f ca="1">IF(C24="",NA(),IF(OR(C24="Smelter not listed",C24="Smelter not yet identified"),MATCH($B24&amp;$D24,'Smelter Look-up'!$J:$J,0),MATCH($B24&amp;$C24,'Smelter Look-up'!$J:$J,0)))</f>
        <v>423</v>
      </c>
      <c r="X24" s="210">
        <f t="shared" ca="1" si="3"/>
        <v>0</v>
      </c>
      <c r="AB24" s="211" t="str">
        <f t="shared" ca="1" si="4"/>
        <v>TinAurubis Beerse</v>
      </c>
    </row>
    <row r="25" spans="1:28" s="210" customFormat="1" ht="19.75">
      <c r="A25" s="165" t="s">
        <v>2419</v>
      </c>
      <c r="B25" s="166" t="str">
        <f ca="1">IF(LEN(A25)=0,"",INDEX('Smelter Look-up'!$A:$A,MATCH($A25,'Smelter Look-up'!$E:$E,0)))</f>
        <v>Tin</v>
      </c>
      <c r="C25" s="170" t="str">
        <f ca="1">IF(LEN(A25)=0,"",INDEX('Smelter Look-up'!$C:$C,MATCH($A25,'Smelter Look-up'!$E:$E,0)))</f>
        <v>Guangdong Hanhe Non-Ferrous Metal Co., Ltd.</v>
      </c>
      <c r="D25" s="213"/>
      <c r="E25" s="166" t="str">
        <f ca="1">IF(ISERROR($V25),"",OFFSET('Smelter Look-up'!$D$4,$V25-4,0)&amp;"")</f>
        <v>CHINA</v>
      </c>
      <c r="F25" s="166" t="str">
        <f ca="1">IF(ISERROR($V25),"",OFFSET('Smelter Look-up'!$E$4,$V25-4,0))</f>
        <v>CID003116</v>
      </c>
      <c r="G25" s="166" t="str">
        <f ca="1">IF(C25=$X$4,IF(ISERROR($V25),"Enter smelter details","RMI"),IF(ISERROR($V25),"",OFFSET('Smelter Look-up'!$F$4,$V25-4,0)))</f>
        <v>RMI</v>
      </c>
      <c r="H25" s="167">
        <f ca="1">IF(ISERROR($V25),"",OFFSET('Smelter Look-up'!$G$4,$V25-4,0))</f>
        <v>0</v>
      </c>
      <c r="I25" s="168" t="str">
        <f ca="1">IF(ISERROR($V25),"",OFFSET('Smelter Look-up'!$H$4,$V25-4,0))</f>
        <v>Chaozhou</v>
      </c>
      <c r="J25" s="168" t="str">
        <f ca="1">IF(ISERROR($V25),"",OFFSET('Smelter Look-up'!$I$4,$V25-4,0))</f>
        <v>Guangdong Sheng</v>
      </c>
      <c r="K25" s="207"/>
      <c r="L25" s="207"/>
      <c r="M25" s="207"/>
      <c r="N25" s="207"/>
      <c r="O25" s="207"/>
      <c r="P25" s="169"/>
      <c r="Q25" s="208"/>
      <c r="R25" s="166" t="str">
        <f ca="1">IF(ISERROR($V25),"",OFFSET('Smelter Look-up'!$C$4,$V25-4,0)&amp;"")</f>
        <v>Guangdong Hanhe Non-Ferrous Metal Co., Ltd.</v>
      </c>
      <c r="S25" s="165" t="str">
        <f t="shared" ca="1" si="2"/>
        <v>CN</v>
      </c>
      <c r="T25" s="165" t="str">
        <f ca="1">IF(B25="","",IF(ISERROR(MATCH($J25,SorP!$B$1:$B$6261,0)),"",INDIRECT("'SorP'!$A$"&amp;MATCH($S25&amp;$J25,SorP!C:C,0))))</f>
        <v>CN-GD</v>
      </c>
      <c r="U25" s="185"/>
      <c r="V25" s="209">
        <f ca="1">IF(C25="",NA(),IF(OR(C25="Smelter not listed",C25="Smelter not yet identified"),MATCH($B25&amp;$D25,'Smelter Look-up'!$J:$J,0),MATCH($B25&amp;$C25,'Smelter Look-up'!$J:$J,0)))</f>
        <v>475</v>
      </c>
      <c r="X25" s="210">
        <f t="shared" ca="1" si="3"/>
        <v>0</v>
      </c>
      <c r="AB25" s="211" t="str">
        <f t="shared" ca="1" si="4"/>
        <v>TinGuangdong Hanhe Non-Ferrous Metal Co., Ltd.</v>
      </c>
    </row>
    <row r="26" spans="1:28" s="210" customFormat="1" ht="19.75">
      <c r="A26" s="165" t="s">
        <v>12709</v>
      </c>
      <c r="B26" s="166" t="str">
        <f ca="1">IF(LEN(A26)=0,"",INDEX('Smelter Look-up'!$A:$A,MATCH($A26,'Smelter Look-up'!$E:$E,0)))</f>
        <v>Tin</v>
      </c>
      <c r="C26" s="170" t="str">
        <f ca="1">IF(LEN(A26)=0,"",INDEX('Smelter Look-up'!$C:$C,MATCH($A26,'Smelter Look-up'!$E:$E,0)))</f>
        <v>Tin Technology &amp; Refining</v>
      </c>
      <c r="D26" s="213"/>
      <c r="E26" s="166" t="str">
        <f ca="1">IF(ISERROR($V26),"",OFFSET('Smelter Look-up'!$D$4,$V26-4,0)&amp;"")</f>
        <v>UNITED STATES OF AMERICA</v>
      </c>
      <c r="F26" s="166" t="str">
        <f ca="1">IF(ISERROR($V26),"",OFFSET('Smelter Look-up'!$E$4,$V26-4,0))</f>
        <v>CID003325</v>
      </c>
      <c r="G26" s="166" t="str">
        <f ca="1">IF(C26=$X$4,IF(ISERROR($V26),"Enter smelter details","RMI"),IF(ISERROR($V26),"",OFFSET('Smelter Look-up'!$F$4,$V26-4,0)))</f>
        <v>RMI</v>
      </c>
      <c r="H26" s="167">
        <f ca="1">IF(ISERROR($V26),"",OFFSET('Smelter Look-up'!$G$4,$V26-4,0))</f>
        <v>0</v>
      </c>
      <c r="I26" s="168" t="str">
        <f ca="1">IF(ISERROR($V26),"",OFFSET('Smelter Look-up'!$H$4,$V26-4,0))</f>
        <v>West Chester</v>
      </c>
      <c r="J26" s="168" t="str">
        <f ca="1">IF(ISERROR($V26),"",OFFSET('Smelter Look-up'!$I$4,$V26-4,0))</f>
        <v>Pennsylvania</v>
      </c>
      <c r="K26" s="207"/>
      <c r="L26" s="207"/>
      <c r="M26" s="207"/>
      <c r="N26" s="207"/>
      <c r="O26" s="207"/>
      <c r="P26" s="169"/>
      <c r="Q26" s="208"/>
      <c r="R26" s="166" t="str">
        <f ca="1">IF(ISERROR($V26),"",OFFSET('Smelter Look-up'!$C$4,$V26-4,0)&amp;"")</f>
        <v>Tin Technology &amp; Refining</v>
      </c>
      <c r="S26" s="165" t="str">
        <f t="shared" ca="1" si="2"/>
        <v>US</v>
      </c>
      <c r="T26" s="165" t="str">
        <f ca="1">IF(B26="","",IF(ISERROR(MATCH($J26,SorP!$B$1:$B$6261,0)),"",INDIRECT("'SorP'!$A$"&amp;MATCH($S26&amp;$J26,SorP!C:C,0))))</f>
        <v>US-PA</v>
      </c>
      <c r="U26" s="185"/>
      <c r="V26" s="209">
        <f ca="1">IF(C26="",NA(),IF(OR(C26="Smelter not listed",C26="Smelter not yet identified"),MATCH($B26&amp;$D26,'Smelter Look-up'!$J:$J,0),MATCH($B26&amp;$C26,'Smelter Look-up'!$J:$J,0)))</f>
        <v>547</v>
      </c>
      <c r="X26" s="210">
        <f t="shared" ca="1" si="3"/>
        <v>0</v>
      </c>
      <c r="AB26" s="211" t="str">
        <f t="shared" ca="1" si="4"/>
        <v>TinTin Technology &amp; Refining</v>
      </c>
    </row>
    <row r="27" spans="1:28" s="210" customFormat="1" ht="19.75">
      <c r="A27" s="165" t="s">
        <v>13348</v>
      </c>
      <c r="B27" s="166" t="str">
        <f ca="1">IF(LEN(A27)=0,"",INDEX('Smelter Look-up'!$A:$A,MATCH($A27,'Smelter Look-up'!$E:$E,0)))</f>
        <v>Tin</v>
      </c>
      <c r="C27" s="170" t="str">
        <f ca="1">IF(LEN(A27)=0,"",INDEX('Smelter Look-up'!$C:$C,MATCH($A27,'Smelter Look-up'!$E:$E,0)))</f>
        <v>Luna Smelter, Ltd.</v>
      </c>
      <c r="D27" s="213"/>
      <c r="E27" s="166" t="str">
        <f ca="1">IF(ISERROR($V27),"",OFFSET('Smelter Look-up'!$D$4,$V27-4,0)&amp;"")</f>
        <v>RWANDA</v>
      </c>
      <c r="F27" s="166" t="str">
        <f ca="1">IF(ISERROR($V27),"",OFFSET('Smelter Look-up'!$E$4,$V27-4,0))</f>
        <v>CID003387</v>
      </c>
      <c r="G27" s="166" t="str">
        <f ca="1">IF(C27=$X$4,IF(ISERROR($V27),"Enter smelter details","RMI"),IF(ISERROR($V27),"",OFFSET('Smelter Look-up'!$F$4,$V27-4,0)))</f>
        <v>RMI</v>
      </c>
      <c r="H27" s="167">
        <f ca="1">IF(ISERROR($V27),"",OFFSET('Smelter Look-up'!$G$4,$V27-4,0))</f>
        <v>0</v>
      </c>
      <c r="I27" s="168" t="str">
        <f ca="1">IF(ISERROR($V27),"",OFFSET('Smelter Look-up'!$H$4,$V27-4,0))</f>
        <v>Kigali</v>
      </c>
      <c r="J27" s="168" t="str">
        <f ca="1">IF(ISERROR($V27),"",OFFSET('Smelter Look-up'!$I$4,$V27-4,0))</f>
        <v>City of Kigali</v>
      </c>
      <c r="K27" s="207"/>
      <c r="L27" s="207"/>
      <c r="M27" s="207"/>
      <c r="N27" s="207"/>
      <c r="O27" s="207"/>
      <c r="P27" s="169"/>
      <c r="Q27" s="208"/>
      <c r="R27" s="166" t="str">
        <f ca="1">IF(ISERROR($V27),"",OFFSET('Smelter Look-up'!$C$4,$V27-4,0)&amp;"")</f>
        <v>Luna Smelter, Ltd.</v>
      </c>
      <c r="S27" s="165" t="str">
        <f t="shared" ca="1" si="2"/>
        <v>RW</v>
      </c>
      <c r="T27" s="165" t="str">
        <f ca="1">IF(B27="","",IF(ISERROR(MATCH($J27,SorP!$B$1:$B$6261,0)),"",INDIRECT("'SorP'!$A$"&amp;MATCH($S27&amp;$J27,SorP!C:C,0))))</f>
        <v>RW-01</v>
      </c>
      <c r="U27" s="185"/>
      <c r="V27" s="209">
        <f ca="1">IF(C27="",NA(),IF(OR(C27="Smelter not listed",C27="Smelter not yet identified"),MATCH($B27&amp;$D27,'Smelter Look-up'!$J:$J,0),MATCH($B27&amp;$C27,'Smelter Look-up'!$J:$J,0)))</f>
        <v>488</v>
      </c>
      <c r="X27" s="210">
        <f t="shared" ca="1" si="3"/>
        <v>0</v>
      </c>
      <c r="AB27" s="211" t="str">
        <f t="shared" ca="1" si="4"/>
        <v>TinLuna Smelter, Ltd.</v>
      </c>
    </row>
    <row r="28" spans="1:28" s="210" customFormat="1" ht="19.7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19.7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19.7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19.7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19.7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19.7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19.7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19.7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19.7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19.7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19.7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19.7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19.7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19.7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19.7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19.7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19.7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19.7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19.7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19.7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19.7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19.7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19.7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19.7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19.7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19.7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19.7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19.7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19.7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19.7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19.7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19.7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19.7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19.7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19.7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19.7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19.7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19.7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19.7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19.7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19.7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19.7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19.7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19.7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19.7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19.7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19.7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19.7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19.7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19.7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19.7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19.7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19.7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19.7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19.7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19.7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19.7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19.7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19.7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19.7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19.7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19.7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19.7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19.7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19.7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19.7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19.7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19.7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19.7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19.7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19.7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19.7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19.7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19.7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19.7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19.7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19.7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19.7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19.7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19.7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19.7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19.7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19.7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19.7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19.7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19.7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19.7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19.7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19.7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19.7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19.7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19.7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19.7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19.7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19.7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19.7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19.7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19.7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19.7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19.7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19.7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19.7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19.7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19.7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19.7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19.7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19.7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19.7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19.7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19.7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19.7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19.7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19.7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19.7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19.7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19.7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19.7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19.7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19.7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19.7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19.7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19.7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19.7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19.7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19.7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19.7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19.7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19.7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19.7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19.7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19.7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19.7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19.7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19.7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19.7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19.7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19.7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19.7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19.7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19.7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19.7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19.7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19.7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19.7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19.7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19.7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19.7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19.7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19.7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19.7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19.7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19.7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19.7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19.7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19.7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19.7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19.7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19.7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19.7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19.7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19.7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7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7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7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7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7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7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7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7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7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7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7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7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7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7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7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7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7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7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7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7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7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7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7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7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7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7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7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7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7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7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7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7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7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7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7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7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7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7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7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7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7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7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7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7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7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7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7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7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7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7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7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7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7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7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7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7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7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7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7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7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7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7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7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7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7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7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7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7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7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7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7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7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7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7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7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7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7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7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7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7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7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7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7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7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19.7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19.7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19.7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19.7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19.7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19.7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19.7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19.7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19.7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19.7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19.7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19.7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19.7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19.7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19.7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19.7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19.7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19.7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19.7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19.7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19.7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19.7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19.7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19.7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19.7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19.7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19.7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19.7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19.7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19.7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19.7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19.7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19.7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19.7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19.7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19.7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19.7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19.7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19.7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19.7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19.7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19.7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19.7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19.7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19.7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19.7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19.7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19.7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19.7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19.7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19.7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19.7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19.7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19.7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19.7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19.7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19.7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19.7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19.7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19.7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19.7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19.7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19.7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19.7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19.7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19.7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19.7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19.7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19.7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19.7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19.7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19.7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19.7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19.7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19.7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19.7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19.7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19.7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19.7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19.7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19.7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19.7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19.7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19.7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19.7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19.7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19.7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19.7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19.7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19.7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19.7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19.7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19.7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19.7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19.7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19.7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19.7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19.7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19.7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19.7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19.7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19.7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19.7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19.7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19.7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19.7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19.7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19.7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19.7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19.7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19.7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19.7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19.7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19.7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19.7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19.7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19.7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19.7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19.7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19.7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19.7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19.7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19.7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19.7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19.7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19.7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19.7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19.7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19.7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19.7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19.7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19.7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19.7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19.7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19.7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19.7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19.7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19.7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19.7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19.7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19.7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19.7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19.7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19.7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19.7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19.7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19.7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19.7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19.7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19.7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19.7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19.7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19.7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19.7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19.7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19.7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19.7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19.7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19.7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19.7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19.7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19.7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19.7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19.7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19.7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19.7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19.7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19.7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19.7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19.7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19.7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19.7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19.7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19.7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19.7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19.7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19.7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19.7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19.7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19.7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19.7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19.7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19.7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19.7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19.7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19.7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19.7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19.7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19.7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19.7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19.7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19.7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19.7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19.7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19.7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19.7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19.7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19.7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19.7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19.7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19.7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19.7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19.7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19.7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19.7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19.7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19.7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19.7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19.7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19.7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19.7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19.7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19.7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19.7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19.7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19.7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19.7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19.7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19.7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19.7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19.7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19.7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19.7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19.7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19.7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19.7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19.7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19.7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19.7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19.7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19.7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19.7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19.7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19.7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19.7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19.7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19.7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19.7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19.7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19.7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19.7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19.7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19.7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19.7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19.7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19.7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19.7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19.7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19.7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19.7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19.7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19.7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19.7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19.7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19.7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19.7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19.7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19.7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19.7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19.7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19.7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19.7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19.7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19.7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19.7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19.7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19.7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19.7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19.7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19.7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19.7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19.7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19.7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19.7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19.7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19.7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19.7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19.7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19.7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19.7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19.7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19.7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19.7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19.7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19.7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19.7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19.7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19.7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19.7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19.7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19.7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19.7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19.7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19.7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19.7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19.7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19.7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19.7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19.7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19.7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19.7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19.7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19.7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19.7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19.7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19.7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19.7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19.7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19.7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19.7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19.7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19.7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19.7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19.7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19.7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19.7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19.7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19.7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19.7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19.7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19.7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19.7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19.7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19.7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19.7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19.7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19.7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19.7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19.7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19.7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19.7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19.7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19.7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19.7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19.7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19.7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19.7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19.7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19.7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19.7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19.7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19.7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19.7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19.7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19.7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19.7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19.7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19.7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19.7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19.7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19.7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19.7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19.7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19.7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19.7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19.7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19.7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19.7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19.7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19.7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19.7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19.7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19.7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19.7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19.7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19.7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19.7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19.7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19.7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19.7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19.7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19.7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19.7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19.7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19.7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19.7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19.7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19.7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19.7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19.7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19.7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19.7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19.7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19.7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19.7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19.7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19.7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19.7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19.7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19.7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19.7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19.7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19.7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19.7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19.7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19.7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19.7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19.7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19.7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19.7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19.7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19.7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19.7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19.7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19.7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19.7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19.7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19.7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19.7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19.7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19.7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19.7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19.7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19.7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19.7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19.7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19.7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19.7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19.7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19.7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19.7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19.7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19.7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19.7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19.7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19.7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19.7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19.7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19.7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19.7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19.7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19.7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19.7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19.7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19.7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19.7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19.7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19.7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19.7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19.7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19.7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19.7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19.7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19.7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19.7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19.7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19.7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19.7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19.7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19.7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19.7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19.7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19.7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19.7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19.7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19.7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19.7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19.7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19.7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19.7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19.7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19.7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19.7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19.7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19.7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19.7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19.7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19.7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19.7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19.7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19.7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19.7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19.7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19.7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19.7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19.7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19.7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19.7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19.7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19.7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19.7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19.7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19.7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19.7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19.7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19.7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19.7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19.7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19.7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19.7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19.7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19.7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19.7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19.7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19.7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19.7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19.7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19.7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19.7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19.7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19.7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19.7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19.7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19.7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19.7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19.7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19.7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19.7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19.7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19.7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19.7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19.7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19.7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19.7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19.7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19.7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19.7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19.7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19.7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19.7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19.7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19.7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19.7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19.7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19.7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19.7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19.7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19.7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19.7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19.7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19.7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19.7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19.7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19.7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19.7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19.7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19.7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19.7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19.7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19.7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19.7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19.7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19.7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19.7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19.7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19.7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19.7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19.7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19.7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19.7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19.7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19.7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19.7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19.7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19.7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19.7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19.7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19.7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19.7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19.7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19.7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19.7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19.7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19.7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19.7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19.7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19.7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19.7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19.7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19.7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19.7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19.7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19.7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19.7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19.7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19.7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19.7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19.7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19.7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19.7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19.7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19.7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19.7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19.7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19.7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19.7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19.7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19.7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19.7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19.7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19.7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19.7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19.7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19.7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19.7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19.7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19.7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19.7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19.7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19.7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19.7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19.7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19.7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19.7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19.7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19.7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19.7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19.7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19.7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19.7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19.7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19.7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19.7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19.7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19.7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19.7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19.7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19.7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19.7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19.7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19.7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19.7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19.7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19.7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19.7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19.7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19.7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19.7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19.7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19.7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19.7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19.7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19.7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19.7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19.7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19.7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19.7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19.7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19.7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19.7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19.7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19.7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19.7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19.7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19.7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19.7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19.7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19.7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19.7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19.7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19.7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19.7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19.7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19.7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19.7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19.7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19.7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19.7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19.7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19.7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19.7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19.7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19.7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19.7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19.7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19.7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19.7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19.7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19.7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19.7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19.7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19.7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19.7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19.7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19.7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19.7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19.7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19.7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19.7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19.7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19.7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19.7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19.7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19.7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19.7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19.7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19.7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19.7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19.7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19.7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19.7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19.7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19.7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19.7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19.7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19.7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19.7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19.7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19.7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19.7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19.7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19.7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19.7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19.7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19.7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19.7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19.7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19.7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19.7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19.7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19.7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19.7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19.7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19.7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19.7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19.7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19.7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19.7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19.7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19.7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19.7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19.7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19.7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19.7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19.7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19.7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19.7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19.7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19.7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19.7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19.7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19.7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19.7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19.7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19.7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19.7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19.7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19.7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19.7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19.7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19.7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19.7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19.7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19.7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19.7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19.7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19.7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19.7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19.7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19.7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19.7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19.7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19.7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19.7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19.7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19.7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19.7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19.7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19.7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19.7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19.7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19.7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19.7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19.7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19.7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19.7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19.7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19.7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19.7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19.7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19.7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19.7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19.7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19.7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19.7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19.7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19.7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19.7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19.7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19.7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19.7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19.7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19.7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19.7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19.7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19.7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19.7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19.7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19.7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19.7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19.7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19.7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19.7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19.7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19.7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19.7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19.7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19.7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19.7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19.7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19.7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19.7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19.7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19.7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19.7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19.7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19.7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19.7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19.7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19.7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19.7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19.7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19.7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19.7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19.7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19.7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19.7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19.7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19.7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19.7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19.7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19.7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19.7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19.7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19.7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19.7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19.7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19.7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19.7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19.7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19.7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19.7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19.7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19.7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19.7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19.7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19.7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19.7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19.7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19.7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19.7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19.7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19.7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19.7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19.7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19.7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19.7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19.7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19.7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19.7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19.7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19.7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19.7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19.7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19.7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19.7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19.7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19.7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19.7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19.7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19.7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19.7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19.7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19.7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19.7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19.7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19.7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19.7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19.7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19.7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19.7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19.7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19.7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19.7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19.7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19.7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19.7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19.7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19.7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19.7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19.7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19.7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19.7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19.7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19.7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19.7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19.7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19.7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19.7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19.7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19.7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19.7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19.7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19.7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19.7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19.7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19.7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19.7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19.7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19.7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19.7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19.7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19.7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19.7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19.7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19.7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19.7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19.7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19.7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19.7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19.7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19.7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19.7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19.7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19.7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19.7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19.7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19.7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19.7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19.7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19.7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19.7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19.7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19.7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19.7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19.7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19.7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19.7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19.7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19.7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19.7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19.7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19.7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19.7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19.7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19.7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19.7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19.7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19.7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19.7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19.7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19.7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19.7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19.7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19.7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19.7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19.7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19.7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19.7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19.7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19.7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19.7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19.7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19.7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19.7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19.7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19.7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19.7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19.7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19.7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19.7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19.7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19.7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19.7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19.7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19.7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19.7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19.7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19.7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19.7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19.7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19.7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19.7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19.7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19.7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19.7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19.7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19.7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19.7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19.7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19.7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19.7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19.7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19.7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19.7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19.7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19.7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19.7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19.7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19.7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19.7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19.7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19.7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19.7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19.7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19.7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19.7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19.7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19.7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19.7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19.7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19.7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19.7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19.7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19.7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19.7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19.7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19.7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19.7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19.7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19.7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19.7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19.7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19.7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19.7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19.7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19.7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19.7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19.7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19.7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19.7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19.7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19.7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19.7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19.7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19.7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19.7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19.7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19.7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19.7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19.7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19.7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19.7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19.7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19.7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19.7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19.7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19.7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19.7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19.7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19.7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19.7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19.7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19.7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19.7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19.7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19.7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19.7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19.7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19.7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19.7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19.7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19.7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19.7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19.7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19.7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19.7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19.7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19.7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19.7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19.7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19.7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19.7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19.7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19.7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19.7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19.7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19.7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19.7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19.7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19.7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19.7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19.7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19.7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19.7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19.7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19.7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19.7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19.7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19.7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19.7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19.7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19.7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19.7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19.7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19.7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19.7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19.7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19.7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19.7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19.7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19.7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19.7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19.7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19.7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19.7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19.7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19.7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19.7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19.7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19.7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19.7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19.7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19.7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19.7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19.7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19.7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19.7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19.7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19.7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19.7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19.7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19.7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19.7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19.7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19.7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19.7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19.7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19.7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19.7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19.7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19.7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19.7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19.7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19.7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19.7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19.7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19.7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19.7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19.7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19.7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19.7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19.7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19.7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19.7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19.7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19.7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19.7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19.7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19.7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19.7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19.7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19.7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19.7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19.7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19.7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19.7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19.7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19.7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19.7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19.7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19.7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19.7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19.7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19.7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19.7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19.7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19.7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19.7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19.7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19.7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19.7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19.7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19.7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19.7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19.7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19.7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19.7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19.7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19.7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19.7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19.7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19.7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19.7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19.7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19.7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19.7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19.7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19.7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19.7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19.7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19.7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19.7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19.7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19.7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19.7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19.7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19.7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19.7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19.7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19.7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19.7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19.7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19.7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19.7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19.7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19.7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19.7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19.7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19.7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19.7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19.7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19.7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19.7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19.7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19.7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19.7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19.7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19.7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19.7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19.7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19.7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19.7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19.7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19.7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19.7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19.7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19.7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19.7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19.7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19.7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19.7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19.7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19.7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19.7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19.7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19.7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19.7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19.7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19.7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19.7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19.7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19.7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19.7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19.7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19.7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19.7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19.7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19.7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19.7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19.7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19.7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19.7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19.7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19.7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19.7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19.7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19.7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19.7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19.7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19.7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19.7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19.7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19.7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19.7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19.7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19.7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19.7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19.7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19.7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19.7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19.7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19.7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19.7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19.7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19.7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19.7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19.7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19.7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19.7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19.7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19.7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19.7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19.7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19.7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19.7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19.7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19.7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19.7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19.7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19.7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19.7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19.7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19.7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19.7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19.7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19.7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19.7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19.7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19.7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19.7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19.7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19.7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19.7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19.7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19.7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19.7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19.7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19.7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19.7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19.7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19.7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19.7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19.7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19.7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19.7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19.7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19.7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19.7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19.7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19.7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19.7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19.7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19.7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19.7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19.7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19.7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19.7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19.7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19.7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19.7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19.7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19.7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19.7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19.7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19.7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19.7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19.7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19.7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19.7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19.7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19.7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19.7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19.7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19.7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19.7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19.7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19.7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19.7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19.7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19.7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19.7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19.7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19.7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19.7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19.7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19.7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19.7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19.7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19.7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19.7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19.7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19.7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19.7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19.7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19.7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19.7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19.7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19.7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19.7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19.7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19.7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19.7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19.7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19.7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19.7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19.7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19.7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19.7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19.7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19.7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19.7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19.7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19.7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19.7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19.7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19.7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19.7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19.7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19.7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19.7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19.7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19.7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19.7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19.7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19.7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19.7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19.7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19.7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19.7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19.7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19.7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19.7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19.7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19.7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19.7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19.7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19.7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19.7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19.7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19.7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19.7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19.7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19.7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19.7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19.7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19.7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19.7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19.7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19.7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19.7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19.7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19.7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19.7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19.7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19.7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19.7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19.7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19.7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19.7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19.7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19.7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19.7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19.7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19.7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19.7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19.7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19.7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19.7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19.7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19.7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19.7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19.7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19.7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19.7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19.7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19.7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19.7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19.7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19.7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19.7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19.7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19.7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19.7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19.7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19.7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19.7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19.7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19.7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19.7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19.7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19.7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19.7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19.7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19.7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19.7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19.7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19.7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19.7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19.7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19.7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19.7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19.7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19.7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19.7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19.7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19.7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19.7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19.7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19.7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19.7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19.7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19.7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19.7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19.7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19.7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19.7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19.7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19.7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19.7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19.7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19.7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19.7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19.7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19.7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19.7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19.7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19.7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19.7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19.7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19.7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19.7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19.7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19.7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19.7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19.7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19.7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19.7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19.7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19.7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19.7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19.7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19.7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19.7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19.7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19.7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19.7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19.7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19.7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19.7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19.7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19.7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19.7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19.7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19.7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19.7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19.7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19.7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19.7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19.7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19.7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19.7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19.7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19.7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19.7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19.7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19.7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19.7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19.7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19.7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19.7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19.7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19.7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19.7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19.7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19.7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19.7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19.7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19.7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19.7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19.7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19.7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19.7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19.7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19.7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19.7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19.7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19.7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19.7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19.7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19.7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19.7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19.7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19.7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19.7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19.7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19.7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19.7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19.7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19.7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19.7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19.7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19.7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19.7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19.7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19.7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19.7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19.7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19.7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19.7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19.7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19.7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19.7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19.7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19.7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19.7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19.7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19.7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19.7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19.7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19.7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19.7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19.7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19.7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19.7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19.7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19.7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19.7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19.7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19.7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19.7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19.7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19.7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19.7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19.7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19.7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19.7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19.7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19.7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19.7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19.7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19.7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19.7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19.7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19.7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19.7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19.7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19.7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19.7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19.7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19.7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19.7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19.7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19.7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19.7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19.7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19.7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19.7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19.7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19.7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19.7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19.7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19.7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19.7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19.7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19.7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19.7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19.7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19.7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19.7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19.7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19.7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19.7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19.7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19.7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19.7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19.7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19.7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19.7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19.7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19.7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19.7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19.7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19.7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19.7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19.7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19.7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19.7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19.7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19.7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19.7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19.7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19.7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19.7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19.7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19.7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19.7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19.7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19.7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19.7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19.7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19.7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19.7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19.7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19.7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19.7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19.7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19.7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19.7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19.7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19.7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19.7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19.7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19.7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19.7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19.7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19.7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19.7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19.7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19.7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19.7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19.7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19.7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19.7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19.7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19.7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19.7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19.7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19.7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19.7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19.7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19.7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19.7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19.7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19.7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19.7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19.7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19.7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19.7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19.7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19.7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19.7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19.7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19.7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19.7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19.7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19.7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19.7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19.7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19.7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19.7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19.7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19.7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19.7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19.7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19.7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19.7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19.7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19.7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19.7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19.7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19.7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19.7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19.7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19.7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19.7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19.7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19.7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19.7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19.7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19.7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19.7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19.7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19.7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19.7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19.7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19.7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19.7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19.7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19.7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19.7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19.7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19.7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19.7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19.7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19.7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19.7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19.7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19.7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19.7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19.7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19.7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19.7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19.7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19.7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19.7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19.7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19.7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19.7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19.7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19.7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19.7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19.7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19.7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19.7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19.7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19.7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19.7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19.7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19.7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19.7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19.7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19.7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19.7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19.7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19.7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19.7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19.7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19.7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19.7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19.7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19.7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19.7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19.7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19.7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19.7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19.7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19.7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19.7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19.7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19.7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19.7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19.7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19.7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19.7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19.7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19.7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19.7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19.7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19.7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19.7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19.7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19.7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19.7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19.7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19.7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19.7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19.7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19.7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19.7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19.7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19.7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19.7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19.7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19.7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19.7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19.7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19.7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19.7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19.7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19.7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19.7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19.7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19.7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19.7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19.7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19.7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19.7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19.7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19.7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19.7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19.7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19.7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19.7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19.7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19.7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19.7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19.7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19.7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19.7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19.7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19.7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19.7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19.7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19.7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19.7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19.7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19.7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19.7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19.7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19.7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19.7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19.7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19.7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19.7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19.7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19.7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19.7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19.7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19.7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19.7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19.7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19.7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19.7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19.7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19.7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19.7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19.7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19.7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19.7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19.7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19.7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19.7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19.7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19.7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19.7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19.7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19.7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19.7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19.7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19.7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19.7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19.7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19.7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19.7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19.7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19.7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19.7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19.7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19.7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19.7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19.7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19.7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19.7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19.7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19.7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19.7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19.7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19.7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19.7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19.7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19.7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19.7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19.7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19.7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19.7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19.7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19.7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19.7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19.7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19.7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19.7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19.7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19.7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19.7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19.7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19.7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19.7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19.7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19.7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19.7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19.7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19.7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19.7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19.7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19.7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19.7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19.7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19.7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19.7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19.7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19.7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19.7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19.7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19.7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19.7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19.7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19.7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19.7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19.7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19.7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19.7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19.7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19.7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19.7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19.7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19.7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19.7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19.7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19.7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19.7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19.7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19.7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19.7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19.7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19.7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19.7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19.7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19.7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19.7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19.7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19.7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19.7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19.7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19.7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19.7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19.7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19.7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19.7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19.7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19.7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19.7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19.7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19.7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19.7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19.7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19.7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19.7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19.7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19.7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19.7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19.7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19.7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19.7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19.7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19.7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19.7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19.7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19.7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19.7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19.7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19.7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19.7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19.7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19.7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19.7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19.7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19.7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19.7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19.7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19.7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19.7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19.7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19.7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19.7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19.7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19.7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19.7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19.7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19.7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19.7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19.7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19.7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19.7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19.7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19.7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19.7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19.7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19.7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19.7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19.7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19.7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19.7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19.7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19.7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19.7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19.7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19.7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19.7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19.7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19.7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19.7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19.7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19.7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19.7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19.7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19.7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19.7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19.7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19.7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19.7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19.7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19.7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19.7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19.7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19.7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19.7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19.7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19.7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19.7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19.7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19.7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19.7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19.7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19.7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19.7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19.7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19.7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19.7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19.7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19.7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19.7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19.7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19.7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19.7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19.7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19.7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19.7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19.7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19.7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19.7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19.7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19.7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19.7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19.7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19.7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19.7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19.7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19.7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19.7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19.7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19.7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19.7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19.7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19.7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19.7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19.7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19.7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19.7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19.7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19.7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19.7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19.7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19.7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19.7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19.7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19.7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19.7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19.7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19.7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19.7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19.7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19.7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19.7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19.7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19.7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19.7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19.7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19.7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19.7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19.7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19.7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19.7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19.7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19.7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19.7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19.7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19.7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19.7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19.7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19.7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19.7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19.7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19.7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19.7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19.7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19.7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19.7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19.7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19.7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19.7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19.7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19.7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19.7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19.7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19.7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19.7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19.7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19.7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19.7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19.7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19.7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19.7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19.7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19.7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19.7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19.7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19.7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19.7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19.7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19.7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19.7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19.7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19.7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19.7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19.7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19.7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19.7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19.7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19.7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19.7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19.7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19.7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19.7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19.7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19.7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19.7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19.7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19.7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19.7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19.7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19.7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19.7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19.7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19.7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19.7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19.7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19.7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19.7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19.7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19.7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19.7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19.7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19.7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19.7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19.7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19.7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19.7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19.7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19.7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19.7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19.7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19.7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19.7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19.7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19.7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19.7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19.7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19.7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19.7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19.7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19.7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19.7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19.7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19.7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19.7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19.7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19.7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19.7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19.7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19.7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19.7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19.7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19.7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19.7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19.7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19.7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19.7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19.7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19.7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19.7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19.7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19.7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19.7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19.7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19.7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19.7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19.7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19.7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19.7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19.7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19.7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9"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F0B5551-3483-4165-9451-D165C2B21A4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28"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8" customWidth="1"/>
    <col min="2" max="2" width="42.86328125" style="19" customWidth="1"/>
    <col min="3" max="3" width="51.59765625" style="18" customWidth="1"/>
    <col min="4" max="4" width="29.1328125" style="19" customWidth="1"/>
    <col min="5" max="5" width="9" style="18" customWidth="1"/>
    <col min="6" max="6" width="13.59765625" style="18" hidden="1" customWidth="1"/>
    <col min="7" max="7" width="13.3984375" style="18" hidden="1" customWidth="1"/>
    <col min="8" max="9" width="9" style="18" hidden="1" customWidth="1"/>
    <col min="10" max="10" width="48.86328125" style="18" hidden="1" customWidth="1"/>
    <col min="11" max="11" width="9" style="18" hidden="1" customWidth="1"/>
    <col min="12" max="15" width="8.86328125" style="18" hidden="1" customWidth="1"/>
    <col min="16" max="18" width="8.86328125" style="18" customWidth="1"/>
    <col min="19" max="16384" width="8.8632812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15">
      <c r="A4" s="87" t="str">
        <f ca="1">Declaration!B8</f>
        <v>Company Name (*):</v>
      </c>
      <c r="B4" s="86" t="str">
        <f>Declaration!D8</f>
        <v>Zierick Manufacturing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15">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15">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8.15">
      <c r="A7" s="87" t="str">
        <f ca="1">Declaration!B15</f>
        <v>Contact Name (*):</v>
      </c>
      <c r="B7" s="86" t="str">
        <f>Declaration!D15</f>
        <v>Customer Support</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15">
      <c r="A8" s="87" t="str">
        <f ca="1">Declaration!B16</f>
        <v>Email – Contact (*):</v>
      </c>
      <c r="B8" s="86" t="str">
        <f>Declaration!D16</f>
        <v>contactus@zierick.com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15">
      <c r="A9" s="87" t="str">
        <f ca="1">Declaration!B17</f>
        <v>Phone – Contact (*):</v>
      </c>
      <c r="B9" s="256" t="str">
        <f>Declaration!D17</f>
        <v>914-666-2911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15">
      <c r="A10" s="87" t="str">
        <f ca="1">Declaration!B18</f>
        <v>Authorizer (*):</v>
      </c>
      <c r="B10" s="86" t="str">
        <f>Declaration!D18</f>
        <v>Kerry Lynster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15">
      <c r="A11" s="87" t="str">
        <f ca="1">Declaration!B20</f>
        <v>Email - Authorizer (*):</v>
      </c>
      <c r="B11" s="86" t="str">
        <f>Declaration!D20</f>
        <v>klynster@zierick.com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15">
      <c r="A12" s="87" t="str">
        <f ca="1">Declaration!B22</f>
        <v>Effective Date (*):</v>
      </c>
      <c r="B12" s="88">
        <f>Declaration!D22</f>
        <v>46143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2.15">
      <c r="A13" s="86" t="str">
        <f ca="1">Declaration!B25</f>
        <v>1) Is any 3TG intentionally added or used in the product(s) or in the production process? (*)</v>
      </c>
      <c r="B13" s="89"/>
      <c r="C13" s="89"/>
      <c r="D13" s="93"/>
      <c r="E13" s="19" t="s">
        <v>773</v>
      </c>
      <c r="F13" s="90"/>
      <c r="H13" s="18">
        <f t="shared" si="3"/>
        <v>0</v>
      </c>
    </row>
    <row r="14" spans="1:10" ht="25.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15">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15">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15">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49.75">
      <c r="A18" s="86" t="str">
        <f ca="1">Declaration!B31</f>
        <v>2) Does any 3TG remain in the product(s)? (*)</v>
      </c>
      <c r="B18" s="89"/>
      <c r="C18" s="89"/>
      <c r="D18" s="93"/>
      <c r="E18" s="19" t="s">
        <v>771</v>
      </c>
      <c r="F18" s="90"/>
      <c r="J18" s="143"/>
    </row>
    <row r="19" spans="1:10" ht="38.15">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15">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15">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15">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15">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15">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15">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15">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8.15">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15">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15">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8.15">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6" t="str">
        <f ca="1">Declaration!B55</f>
        <v>6) What percentage of relevant suppliers have provided a response to your supply chain survey?  (*)</v>
      </c>
      <c r="B38" s="89"/>
      <c r="C38" s="89"/>
      <c r="D38" s="93"/>
      <c r="E38" s="19" t="s">
        <v>770</v>
      </c>
      <c r="F38" s="90"/>
    </row>
    <row r="39" spans="1:10" ht="25.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5.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5.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5.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49.75">
      <c r="A43" s="86" t="str">
        <f ca="1">Declaration!B61</f>
        <v>7) Have you identified all of the smelters supplying the 3TG to your supply chain?  (*)</v>
      </c>
      <c r="B43" s="89"/>
      <c r="C43" s="89"/>
      <c r="D43" s="93"/>
      <c r="E43" s="19" t="s">
        <v>771</v>
      </c>
      <c r="F43" s="90"/>
    </row>
    <row r="44" spans="1:10" ht="50.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0.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0.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0.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2.15">
      <c r="A48" s="86" t="str">
        <f ca="1">Declaration!B67</f>
        <v>8) Has all applicable smelter information received by your company been reported in this declaration?  (*)</v>
      </c>
      <c r="B48" s="89"/>
      <c r="C48" s="89"/>
      <c r="D48" s="93"/>
      <c r="E48" s="19" t="s">
        <v>772</v>
      </c>
      <c r="F48" s="90"/>
    </row>
    <row r="49" spans="1:10" ht="38.15">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15">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15">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15">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4.9">
      <c r="A53" s="86" t="str">
        <f ca="1">Declaration!B74</f>
        <v>Question</v>
      </c>
      <c r="B53" s="89"/>
      <c r="C53" s="89"/>
      <c r="D53" s="93"/>
      <c r="E53" s="19" t="s">
        <v>426</v>
      </c>
      <c r="F53" s="90"/>
      <c r="G53" s="90"/>
      <c r="H53" s="90"/>
    </row>
    <row r="54" spans="1:10" ht="38.15">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https://zierick.com/reach-and-rohs-compliance/#1715000761159-94d75f5d-235a</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49.75">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15">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15">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6" hidden="1">
      <c r="A61" s="86"/>
      <c r="B61" s="86"/>
      <c r="C61" s="86"/>
      <c r="D61" s="92"/>
      <c r="E61" s="19"/>
      <c r="F61" s="91"/>
      <c r="G61" s="67"/>
      <c r="H61" s="68"/>
      <c r="I61" s="142"/>
    </row>
    <row r="62" spans="1:10" ht="38.15">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15">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15">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15">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15">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15">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15">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4.9">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2.9"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59" customWidth="1"/>
    <col min="2" max="2" width="39.86328125" style="262" customWidth="1"/>
    <col min="3" max="5" width="39.86328125" style="259" customWidth="1"/>
    <col min="6" max="6" width="58.86328125" style="259" customWidth="1"/>
    <col min="7" max="7" width="1.59765625" style="259" customWidth="1"/>
    <col min="8" max="8" width="9" style="259" customWidth="1"/>
    <col min="9" max="16384" width="8.8632812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2.9"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73" bestFit="1" customWidth="1"/>
    <col min="2" max="2" width="42.86328125" style="173" customWidth="1"/>
    <col min="3" max="3" width="63.86328125" style="173" customWidth="1"/>
    <col min="4" max="4" width="25.59765625" style="173" customWidth="1"/>
    <col min="5" max="5" width="12.59765625" style="173" customWidth="1"/>
    <col min="6" max="6" width="12.59765625" style="174" customWidth="1"/>
    <col min="7" max="7" width="15.3984375" style="173" customWidth="1"/>
    <col min="8" max="8" width="23.86328125" style="173" customWidth="1"/>
    <col min="9" max="9" width="28.1328125" style="173" customWidth="1"/>
    <col min="10" max="10" width="48.19921875" style="173" hidden="1" customWidth="1"/>
    <col min="11" max="11" width="49.73046875" style="173" hidden="1" customWidth="1"/>
    <col min="12" max="16384" width="8.8632812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49.7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6328125" defaultRowHeight="14.6"/>
  <cols>
    <col min="1" max="1" width="14.59765625" style="148" customWidth="1"/>
    <col min="2" max="2" width="14" style="148" customWidth="1"/>
    <col min="3" max="3" width="6.1328125" style="148" customWidth="1"/>
    <col min="4" max="4" width="56.19921875" style="148" customWidth="1"/>
    <col min="5" max="5" width="53.73046875" style="216" customWidth="1"/>
    <col min="6" max="6" width="54.1328125" style="148" customWidth="1"/>
    <col min="7" max="7" width="68.19921875" style="148" customWidth="1"/>
    <col min="8" max="8" width="49.19921875" style="148" customWidth="1"/>
    <col min="9" max="9" width="51.59765625" style="148" customWidth="1"/>
    <col min="10" max="10" width="50.19921875" style="148" customWidth="1"/>
    <col min="11" max="11" width="51.86328125" customWidth="1"/>
    <col min="12" max="12" width="66.86328125" style="239" customWidth="1"/>
    <col min="13" max="13" width="46.1328125" style="106" customWidth="1"/>
    <col min="14" max="15" width="8.86328125" style="106" customWidth="1"/>
    <col min="16" max="16384" width="8.863281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7.4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64.3">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3.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9.1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3.7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3.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3.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3.7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7.4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9.1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7.4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9.1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72.900000000000006">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3.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3.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6.7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9">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3.7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3.4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1.3">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63.60000000000002">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3.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3">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6.6">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2">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3.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4">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4">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2">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3.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9.1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4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72.900000000000006">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8.3">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0.30000000000001">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7.4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2">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31.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72.900000000000006">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7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7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7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78.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7.4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9.4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04">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3.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8.6">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9.1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9.7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60.3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60.3000000000000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0.6000000000000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02">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3.7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9.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7.4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9.1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3.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9.1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9.1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9.1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9.1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9.1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9.1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9.1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9.1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9.1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9.1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7.4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5.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60.3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72.900000000000006">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5.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6.6">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45.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47.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6.6">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35.1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33.1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9.1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2.900000000000006">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9.1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60.3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91.4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1.4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9.1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60.30000000000001">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7.4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18.6">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8.6">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9.1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9.1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3.7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7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8.3">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9.1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9.1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9.1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9.1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9.1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9.1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9.1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1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9.7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2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2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1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1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2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9.1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9.1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2.900000000000006">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7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2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3.7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3.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9.1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1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9.1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9.1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9.1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9.1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9.1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9.1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9.1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9.1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9.1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9.1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9.1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9.1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9.1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9.1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9.1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9.1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9.1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9.1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9.1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3.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3.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8.3">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9.1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3.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9.1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9.1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9.1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8.3">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9.1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9.1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9.1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9.1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9.1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9.1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3.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3.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9.1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3.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3.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3.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3.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8.3">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8.3">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8.3">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8.3">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2.900000000000006">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2.900000000000006">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2.900000000000006">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2.900000000000006">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2.900000000000006">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2.900000000000006">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2.900000000000006">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2.900000000000006">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2.900000000000006">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2.900000000000006">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8.3">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2.900000000000006">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3.7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8.3">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8.3">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8.3">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3.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3.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3.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3.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8.3">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8.3">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8.3">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02">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8.3">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3.7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3.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3.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3.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3.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9.1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7.4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9.1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9.1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2.900000000000006">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9.1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9.1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2.900000000000006">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Kerry Lynster</cp:lastModifiedBy>
  <cp:lastPrinted>2015-04-21T20:47:43Z</cp:lastPrinted>
  <dcterms:created xsi:type="dcterms:W3CDTF">2010-06-21T21:00:23Z</dcterms:created>
  <dcterms:modified xsi:type="dcterms:W3CDTF">2026-05-14T14:26:32Z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